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.bin" ContentType="application/vnd.openxmlformats-officedocument.spreadsheetml.customProperty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ustomProperty2.bin" ContentType="application/vnd.openxmlformats-officedocument.spreadsheetml.customProperty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ustomProperty3.bin" ContentType="application/vnd.openxmlformats-officedocument.spreadsheetml.customProperty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uriy.klinchev\Desktop\Investor Portal\InFFinder\01 Kazakhstan\0102 Oil and Gas\010209 Temlates\01020901 Exel\"/>
    </mc:Choice>
  </mc:AlternateContent>
  <bookViews>
    <workbookView xWindow="9585" yWindow="405" windowWidth="9600" windowHeight="3855" tabRatio="857"/>
  </bookViews>
  <sheets>
    <sheet name="Chart WCost" sheetId="42" r:id="rId1"/>
    <sheet name="Chart DCost" sheetId="41" r:id="rId2"/>
    <sheet name="Chart DC data" sheetId="40" r:id="rId3"/>
    <sheet name="Chart_DSpeed" sheetId="36" r:id="rId4"/>
    <sheet name="Chart data" sheetId="1" r:id="rId5"/>
    <sheet name="Well time use" sheetId="7" r:id="rId6"/>
    <sheet name="Time use" sheetId="19" r:id="rId7"/>
    <sheet name="Data base" sheetId="14" r:id="rId8"/>
    <sheet name="Cost trend" sheetId="8" r:id="rId9"/>
    <sheet name="Cost data" sheetId="5" r:id="rId10"/>
    <sheet name="DV-IDENTITY-0" sheetId="37" state="veryHidden" r:id="rId11"/>
  </sheets>
  <definedNames>
    <definedName name="_xlnm.Print_Area" localSheetId="4">'Chart data'!$D$3:$J$23</definedName>
    <definedName name="_xlnm.Print_Area" localSheetId="9">'Cost data'!$A$30:$A$41</definedName>
  </definedNames>
  <calcPr calcId="162913"/>
</workbook>
</file>

<file path=xl/calcChain.xml><?xml version="1.0" encoding="utf-8"?>
<calcChain xmlns="http://schemas.openxmlformats.org/spreadsheetml/2006/main">
  <c r="H10" i="40" l="1"/>
  <c r="B15" i="14" l="1"/>
  <c r="B16" i="14"/>
  <c r="B29" i="14"/>
  <c r="B28" i="14"/>
  <c r="B27" i="14"/>
  <c r="B26" i="14"/>
  <c r="B25" i="14"/>
  <c r="B18" i="14"/>
  <c r="E148" i="40"/>
  <c r="E133" i="40"/>
  <c r="E93" i="40"/>
  <c r="E85" i="40"/>
  <c r="E50" i="40"/>
  <c r="E43" i="40"/>
  <c r="E18" i="40"/>
  <c r="E12" i="40"/>
  <c r="E7" i="40"/>
  <c r="E4" i="40"/>
  <c r="E149" i="40" s="1"/>
  <c r="C149" i="40"/>
  <c r="B20" i="14"/>
  <c r="K4" i="40" l="1"/>
  <c r="K5" i="40" s="1"/>
  <c r="K6" i="40" s="1"/>
  <c r="M6" i="40" s="1"/>
  <c r="B21" i="14"/>
  <c r="B19" i="14" s="1"/>
  <c r="B28" i="5"/>
  <c r="B30" i="5" s="1"/>
  <c r="K7" i="40" l="1"/>
  <c r="M7" i="40" s="1"/>
  <c r="B32" i="5"/>
  <c r="B33" i="5" s="1"/>
  <c r="B35" i="5" s="1"/>
  <c r="H116" i="40"/>
  <c r="H106" i="40"/>
  <c r="K8" i="40" l="1"/>
  <c r="M8" i="40" s="1"/>
  <c r="B34" i="5"/>
  <c r="H51" i="40" l="1"/>
  <c r="H42" i="40"/>
  <c r="H14" i="40"/>
  <c r="H149" i="40" l="1"/>
  <c r="D7" i="37" l="1"/>
  <c r="C7" i="37"/>
  <c r="D6" i="37"/>
  <c r="C6" i="37"/>
  <c r="FN5" i="37"/>
  <c r="FM5" i="37"/>
  <c r="FJ5" i="37"/>
  <c r="FI5" i="37"/>
  <c r="FH5" i="37"/>
  <c r="FG5" i="37"/>
  <c r="FF5" i="37"/>
  <c r="FE5" i="37"/>
  <c r="FD5" i="37"/>
  <c r="FC5" i="37"/>
  <c r="FB5" i="37"/>
  <c r="FA5" i="37"/>
  <c r="EZ5" i="37"/>
  <c r="EY5" i="37"/>
  <c r="EX5" i="37"/>
  <c r="EW5" i="37"/>
  <c r="EV5" i="37"/>
  <c r="EU5" i="37"/>
  <c r="ET5" i="37"/>
  <c r="ES5" i="37"/>
  <c r="ER5" i="37"/>
  <c r="EQ5" i="37"/>
  <c r="EP5" i="37"/>
  <c r="EO5" i="37"/>
  <c r="EN5" i="37"/>
  <c r="EM5" i="37"/>
  <c r="EL5" i="37"/>
  <c r="EK5" i="37"/>
  <c r="EJ5" i="37"/>
  <c r="EI5" i="37"/>
  <c r="EH5" i="37"/>
  <c r="EG5" i="37"/>
  <c r="EF5" i="37"/>
  <c r="EE5" i="37"/>
  <c r="ED5" i="37"/>
  <c r="EC5" i="37"/>
  <c r="EB5" i="37"/>
  <c r="EA5" i="37"/>
  <c r="DZ5" i="37"/>
  <c r="DY5" i="37"/>
  <c r="DX5" i="37"/>
  <c r="DW5" i="37"/>
  <c r="DV5" i="37"/>
  <c r="DU5" i="37"/>
  <c r="DT5" i="37"/>
  <c r="DS5" i="37"/>
  <c r="DR5" i="37"/>
  <c r="DQ5" i="37"/>
  <c r="DP5" i="37"/>
  <c r="DO5" i="37"/>
  <c r="DN5" i="37"/>
  <c r="DM5" i="37"/>
  <c r="DL5" i="37"/>
  <c r="DK5" i="37"/>
  <c r="DJ5" i="37"/>
  <c r="DI5" i="37"/>
  <c r="DH5" i="37"/>
  <c r="DG5" i="37"/>
  <c r="DF5" i="37"/>
  <c r="DE5" i="37"/>
  <c r="DD5" i="37"/>
  <c r="DC5" i="37"/>
  <c r="DB5" i="37"/>
  <c r="DA5" i="37"/>
  <c r="CZ5" i="37"/>
  <c r="CY5" i="37"/>
  <c r="CX5" i="37"/>
  <c r="CW5" i="37"/>
  <c r="CV5" i="37"/>
  <c r="CU5" i="37"/>
  <c r="CT5" i="37"/>
  <c r="CS5" i="37"/>
  <c r="CR5" i="37"/>
  <c r="CQ5" i="37"/>
  <c r="CP5" i="37"/>
  <c r="CO5" i="37"/>
  <c r="CN5" i="37"/>
  <c r="CM5" i="37"/>
  <c r="CL5" i="37"/>
  <c r="CK5" i="37"/>
  <c r="CJ5" i="37"/>
  <c r="CI5" i="37"/>
  <c r="CH5" i="37"/>
  <c r="CG5" i="37"/>
  <c r="CF5" i="37"/>
  <c r="CE5" i="37"/>
  <c r="CD5" i="37"/>
  <c r="CC5" i="37"/>
  <c r="CB5" i="37"/>
  <c r="CA5" i="37"/>
  <c r="BZ5" i="37"/>
  <c r="BY5" i="37"/>
  <c r="BX5" i="37"/>
  <c r="BW5" i="37"/>
  <c r="BV5" i="37"/>
  <c r="BU5" i="37"/>
  <c r="BT5" i="37"/>
  <c r="BS5" i="37"/>
  <c r="BR5" i="37"/>
  <c r="BQ5" i="37"/>
  <c r="BP5" i="37"/>
  <c r="BO5" i="37"/>
  <c r="BN5" i="37"/>
  <c r="BM5" i="37"/>
  <c r="BL5" i="37"/>
  <c r="BK5" i="37"/>
  <c r="BJ5" i="37"/>
  <c r="BI5" i="37"/>
  <c r="BH5" i="37"/>
  <c r="BG5" i="37"/>
  <c r="BF5" i="37"/>
  <c r="BE5" i="37"/>
  <c r="BD5" i="37"/>
  <c r="BC5" i="37"/>
  <c r="BB5" i="37"/>
  <c r="BA5" i="37"/>
  <c r="AZ5" i="37"/>
  <c r="AY5" i="37"/>
  <c r="AX5" i="37"/>
  <c r="AW5" i="37"/>
  <c r="AV5" i="37"/>
  <c r="AU5" i="37"/>
  <c r="AT5" i="37"/>
  <c r="AS5" i="37"/>
  <c r="AR5" i="37"/>
  <c r="AQ5" i="37"/>
  <c r="AP5" i="37"/>
  <c r="AO5" i="37"/>
  <c r="AN5" i="37"/>
  <c r="AM5" i="37"/>
  <c r="AL5" i="37"/>
  <c r="AK5" i="37"/>
  <c r="AJ5" i="37"/>
  <c r="AI5" i="37"/>
  <c r="AH5" i="37"/>
  <c r="AG5" i="37"/>
  <c r="AF5" i="37"/>
  <c r="AE5" i="37"/>
  <c r="AD5" i="37"/>
  <c r="AC5" i="37"/>
  <c r="AB5" i="37"/>
  <c r="AA5" i="37"/>
  <c r="Z5" i="37"/>
  <c r="Y5" i="37"/>
  <c r="X5" i="37"/>
  <c r="W5" i="37"/>
  <c r="V5" i="37"/>
  <c r="U5" i="37"/>
  <c r="T5" i="37"/>
  <c r="S5" i="37"/>
  <c r="R5" i="37"/>
  <c r="Q5" i="37"/>
  <c r="P5" i="37"/>
  <c r="O5" i="37"/>
  <c r="N5" i="37"/>
  <c r="M5" i="37"/>
  <c r="L5" i="37"/>
  <c r="K5" i="37"/>
  <c r="J5" i="37"/>
  <c r="I5" i="37"/>
  <c r="H5" i="37"/>
  <c r="G5" i="37"/>
  <c r="F5" i="37"/>
  <c r="E5" i="37"/>
  <c r="D5" i="37"/>
  <c r="C5" i="37"/>
  <c r="B5" i="37"/>
  <c r="A5" i="37"/>
  <c r="IV4" i="37"/>
  <c r="IU4" i="37"/>
  <c r="IT4" i="37"/>
  <c r="IS4" i="37"/>
  <c r="IR4" i="37"/>
  <c r="IQ4" i="37"/>
  <c r="IP4" i="37"/>
  <c r="IO4" i="37"/>
  <c r="IN4" i="37"/>
  <c r="IM4" i="37"/>
  <c r="IL4" i="37"/>
  <c r="IK4" i="37"/>
  <c r="IJ4" i="37"/>
  <c r="II4" i="37"/>
  <c r="IH4" i="37"/>
  <c r="IG4" i="37"/>
  <c r="IF4" i="37"/>
  <c r="IE4" i="37"/>
  <c r="ID4" i="37"/>
  <c r="IC4" i="37"/>
  <c r="IB4" i="37"/>
  <c r="IA4" i="37"/>
  <c r="HZ4" i="37"/>
  <c r="HY4" i="37"/>
  <c r="HX4" i="37"/>
  <c r="HW4" i="37"/>
  <c r="HV4" i="37"/>
  <c r="HU4" i="37"/>
  <c r="HT4" i="37"/>
  <c r="HS4" i="37"/>
  <c r="HR4" i="37"/>
  <c r="HQ4" i="37"/>
  <c r="HP4" i="37"/>
  <c r="HO4" i="37"/>
  <c r="HN4" i="37"/>
  <c r="HM4" i="37"/>
  <c r="HL4" i="37"/>
  <c r="HK4" i="37"/>
  <c r="HJ4" i="37"/>
  <c r="HI4" i="37"/>
  <c r="HH4" i="37"/>
  <c r="HG4" i="37"/>
  <c r="HF4" i="37"/>
  <c r="HE4" i="37"/>
  <c r="HD4" i="37"/>
  <c r="HC4" i="37"/>
  <c r="HB4" i="37"/>
  <c r="HA4" i="37"/>
  <c r="GZ4" i="37"/>
  <c r="GY4" i="37"/>
  <c r="GX4" i="37"/>
  <c r="GW4" i="37"/>
  <c r="GV4" i="37"/>
  <c r="GU4" i="37"/>
  <c r="GT4" i="37"/>
  <c r="GS4" i="37"/>
  <c r="GR4" i="37"/>
  <c r="GQ4" i="37"/>
  <c r="GP4" i="37"/>
  <c r="GO4" i="37"/>
  <c r="GN4" i="37"/>
  <c r="GM4" i="37"/>
  <c r="GL4" i="37"/>
  <c r="GK4" i="37"/>
  <c r="GJ4" i="37"/>
  <c r="GI4" i="37"/>
  <c r="GH4" i="37"/>
  <c r="GG4" i="37"/>
  <c r="GF4" i="37"/>
  <c r="GE4" i="37"/>
  <c r="GD4" i="37"/>
  <c r="GC4" i="37"/>
  <c r="GB4" i="37"/>
  <c r="GA4" i="37"/>
  <c r="FZ4" i="37"/>
  <c r="FY4" i="37"/>
  <c r="FX4" i="37"/>
  <c r="FW4" i="37"/>
  <c r="FV4" i="37"/>
  <c r="FU4" i="37"/>
  <c r="FT4" i="37"/>
  <c r="FS4" i="37"/>
  <c r="FR4" i="37"/>
  <c r="FQ4" i="37"/>
  <c r="FP4" i="37"/>
  <c r="FO4" i="37"/>
  <c r="FN4" i="37"/>
  <c r="FM4" i="37"/>
  <c r="FL4" i="37"/>
  <c r="FK4" i="37"/>
  <c r="FJ4" i="37"/>
  <c r="FI4" i="37"/>
  <c r="FH4" i="37"/>
  <c r="FG4" i="37"/>
  <c r="FF4" i="37"/>
  <c r="FE4" i="37"/>
  <c r="FD4" i="37"/>
  <c r="FC4" i="37"/>
  <c r="FB4" i="37"/>
  <c r="FA4" i="37"/>
  <c r="EZ4" i="37"/>
  <c r="EY4" i="37"/>
  <c r="EX4" i="37"/>
  <c r="EW4" i="37"/>
  <c r="EV4" i="37"/>
  <c r="EU4" i="37"/>
  <c r="ET4" i="37"/>
  <c r="ES4" i="37"/>
  <c r="ER4" i="37"/>
  <c r="EQ4" i="37"/>
  <c r="EP4" i="37"/>
  <c r="EO4" i="37"/>
  <c r="EN4" i="37"/>
  <c r="EM4" i="37"/>
  <c r="EL4" i="37"/>
  <c r="EK4" i="37"/>
  <c r="EJ4" i="37"/>
  <c r="EI4" i="37"/>
  <c r="EH4" i="37"/>
  <c r="EG4" i="37"/>
  <c r="EF4" i="37"/>
  <c r="EE4" i="37"/>
  <c r="ED4" i="37"/>
  <c r="EC4" i="37"/>
  <c r="EB4" i="37"/>
  <c r="EA4" i="37"/>
  <c r="DZ4" i="37"/>
  <c r="DY4" i="37"/>
  <c r="DX4" i="37"/>
  <c r="DW4" i="37"/>
  <c r="DV4" i="37"/>
  <c r="DU4" i="37"/>
  <c r="DT4" i="37"/>
  <c r="DS4" i="37"/>
  <c r="DR4" i="37"/>
  <c r="DQ4" i="37"/>
  <c r="DP4" i="37"/>
  <c r="DO4" i="37"/>
  <c r="DN4" i="37"/>
  <c r="DM4" i="37"/>
  <c r="DL4" i="37"/>
  <c r="DK4" i="37"/>
  <c r="DJ4" i="37"/>
  <c r="DI4" i="37"/>
  <c r="DH4" i="37"/>
  <c r="DG4" i="37"/>
  <c r="DF4" i="37"/>
  <c r="DE4" i="37"/>
  <c r="DD4" i="37"/>
  <c r="DC4" i="37"/>
  <c r="DB4" i="37"/>
  <c r="DA4" i="37"/>
  <c r="CZ4" i="37"/>
  <c r="CY4" i="37"/>
  <c r="CX4" i="37"/>
  <c r="CW4" i="37"/>
  <c r="CV4" i="37"/>
  <c r="CU4" i="37"/>
  <c r="CT4" i="37"/>
  <c r="CS4" i="37"/>
  <c r="CR4" i="37"/>
  <c r="CQ4" i="37"/>
  <c r="CP4" i="37"/>
  <c r="CO4" i="37"/>
  <c r="CN4" i="37"/>
  <c r="CM4" i="37"/>
  <c r="CL4" i="37"/>
  <c r="CK4" i="37"/>
  <c r="CJ4" i="37"/>
  <c r="CI4" i="37"/>
  <c r="CH4" i="37"/>
  <c r="CG4" i="37"/>
  <c r="CF4" i="37"/>
  <c r="CE4" i="37"/>
  <c r="CD4" i="37"/>
  <c r="CC4" i="37"/>
  <c r="CB4" i="37"/>
  <c r="CA4" i="37"/>
  <c r="BZ4" i="37"/>
  <c r="BY4" i="37"/>
  <c r="BX4" i="37"/>
  <c r="BW4" i="37"/>
  <c r="BV4" i="37"/>
  <c r="BU4" i="37"/>
  <c r="BT4" i="37"/>
  <c r="BS4" i="37"/>
  <c r="BR4" i="37"/>
  <c r="BQ4" i="37"/>
  <c r="BP4" i="37"/>
  <c r="BO4" i="37"/>
  <c r="BN4" i="37"/>
  <c r="BM4" i="37"/>
  <c r="BL4" i="37"/>
  <c r="BK4" i="37"/>
  <c r="BJ4" i="37"/>
  <c r="BI4" i="37"/>
  <c r="BH4" i="37"/>
  <c r="BG4" i="37"/>
  <c r="BF4" i="37"/>
  <c r="BE4" i="37"/>
  <c r="BD4" i="37"/>
  <c r="BC4" i="37"/>
  <c r="BB4" i="37"/>
  <c r="BA4" i="37"/>
  <c r="AZ4" i="37"/>
  <c r="AY4" i="37"/>
  <c r="AX4" i="37"/>
  <c r="AW4" i="37"/>
  <c r="AV4" i="37"/>
  <c r="AU4" i="37"/>
  <c r="AT4" i="37"/>
  <c r="AS4" i="37"/>
  <c r="AR4" i="37"/>
  <c r="AQ4" i="37"/>
  <c r="AP4" i="37"/>
  <c r="AO4" i="37"/>
  <c r="AN4" i="37"/>
  <c r="AM4" i="37"/>
  <c r="AL4" i="37"/>
  <c r="AK4" i="37"/>
  <c r="AJ4" i="37"/>
  <c r="AI4" i="37"/>
  <c r="AH4" i="37"/>
  <c r="AG4" i="37"/>
  <c r="AF4" i="37"/>
  <c r="AE4" i="37"/>
  <c r="AD4" i="37"/>
  <c r="AC4" i="37"/>
  <c r="AB4" i="37"/>
  <c r="AA4" i="37"/>
  <c r="Z4" i="37"/>
  <c r="Y4" i="37"/>
  <c r="X4" i="37"/>
  <c r="W4" i="37"/>
  <c r="V4" i="37"/>
  <c r="U4" i="37"/>
  <c r="T4" i="37"/>
  <c r="S4" i="37"/>
  <c r="R4" i="37"/>
  <c r="Q4" i="37"/>
  <c r="P4" i="37"/>
  <c r="O4" i="37"/>
  <c r="N4" i="37"/>
  <c r="M4" i="37"/>
  <c r="L4" i="37"/>
  <c r="K4" i="37"/>
  <c r="J4" i="37"/>
  <c r="I4" i="37"/>
  <c r="H4" i="37"/>
  <c r="G4" i="37"/>
  <c r="F4" i="37"/>
  <c r="E4" i="37"/>
  <c r="D4" i="37"/>
  <c r="C4" i="37"/>
  <c r="B4" i="37"/>
  <c r="A4" i="37"/>
  <c r="IV3" i="37"/>
  <c r="IU3" i="37"/>
  <c r="IT3" i="37"/>
  <c r="IS3" i="37"/>
  <c r="IR3" i="37"/>
  <c r="IQ3" i="37"/>
  <c r="IP3" i="37"/>
  <c r="IO3" i="37"/>
  <c r="IN3" i="37"/>
  <c r="IM3" i="37"/>
  <c r="IL3" i="37"/>
  <c r="IK3" i="37"/>
  <c r="IJ3" i="37"/>
  <c r="II3" i="37"/>
  <c r="IH3" i="37"/>
  <c r="IG3" i="37"/>
  <c r="IF3" i="37"/>
  <c r="IE3" i="37"/>
  <c r="ID3" i="37"/>
  <c r="IC3" i="37"/>
  <c r="IB3" i="37"/>
  <c r="IA3" i="37"/>
  <c r="HZ3" i="37"/>
  <c r="HY3" i="37"/>
  <c r="HX3" i="37"/>
  <c r="HW3" i="37"/>
  <c r="HV3" i="37"/>
  <c r="HU3" i="37"/>
  <c r="HT3" i="37"/>
  <c r="HS3" i="37"/>
  <c r="HR3" i="37"/>
  <c r="HQ3" i="37"/>
  <c r="HP3" i="37"/>
  <c r="HO3" i="37"/>
  <c r="HN3" i="37"/>
  <c r="HM3" i="37"/>
  <c r="HL3" i="37"/>
  <c r="HK3" i="37"/>
  <c r="HJ3" i="37"/>
  <c r="HI3" i="37"/>
  <c r="HH3" i="37"/>
  <c r="HG3" i="37"/>
  <c r="HF3" i="37"/>
  <c r="HE3" i="37"/>
  <c r="HD3" i="37"/>
  <c r="HC3" i="37"/>
  <c r="HB3" i="37"/>
  <c r="HA3" i="37"/>
  <c r="GZ3" i="37"/>
  <c r="GY3" i="37"/>
  <c r="GX3" i="37"/>
  <c r="GW3" i="37"/>
  <c r="GV3" i="37"/>
  <c r="GU3" i="37"/>
  <c r="GT3" i="37"/>
  <c r="GS3" i="37"/>
  <c r="GR3" i="37"/>
  <c r="GQ3" i="37"/>
  <c r="GP3" i="37"/>
  <c r="GO3" i="37"/>
  <c r="GN3" i="37"/>
  <c r="GM3" i="37"/>
  <c r="GL3" i="37"/>
  <c r="GK3" i="37"/>
  <c r="GJ3" i="37"/>
  <c r="GI3" i="37"/>
  <c r="GH3" i="37"/>
  <c r="GG3" i="37"/>
  <c r="GF3" i="37"/>
  <c r="GE3" i="37"/>
  <c r="GD3" i="37"/>
  <c r="GC3" i="37"/>
  <c r="GB3" i="37"/>
  <c r="GA3" i="37"/>
  <c r="FZ3" i="37"/>
  <c r="FY3" i="37"/>
  <c r="FX3" i="37"/>
  <c r="FW3" i="37"/>
  <c r="FV3" i="37"/>
  <c r="FU3" i="37"/>
  <c r="FT3" i="37"/>
  <c r="FS3" i="37"/>
  <c r="FR3" i="37"/>
  <c r="FQ3" i="37"/>
  <c r="FP3" i="37"/>
  <c r="FO3" i="37"/>
  <c r="FN3" i="37"/>
  <c r="FM3" i="37"/>
  <c r="FL3" i="37"/>
  <c r="FK3" i="37"/>
  <c r="FJ3" i="37"/>
  <c r="FI3" i="37"/>
  <c r="FH3" i="37"/>
  <c r="FG3" i="37"/>
  <c r="FF3" i="37"/>
  <c r="FE3" i="37"/>
  <c r="FD3" i="37"/>
  <c r="FC3" i="37"/>
  <c r="FB3" i="37"/>
  <c r="FA3" i="37"/>
  <c r="EZ3" i="37"/>
  <c r="EY3" i="37"/>
  <c r="EX3" i="37"/>
  <c r="EW3" i="37"/>
  <c r="EV3" i="37"/>
  <c r="EU3" i="37"/>
  <c r="ET3" i="37"/>
  <c r="ES3" i="37"/>
  <c r="ER3" i="37"/>
  <c r="EQ3" i="37"/>
  <c r="EP3" i="37"/>
  <c r="EO3" i="37"/>
  <c r="EN3" i="37"/>
  <c r="EM3" i="37"/>
  <c r="EL3" i="37"/>
  <c r="EK3" i="37"/>
  <c r="EJ3" i="37"/>
  <c r="EI3" i="37"/>
  <c r="EH3" i="37"/>
  <c r="EG3" i="37"/>
  <c r="EF3" i="37"/>
  <c r="EE3" i="37"/>
  <c r="ED3" i="37"/>
  <c r="EC3" i="37"/>
  <c r="EB3" i="37"/>
  <c r="EA3" i="37"/>
  <c r="DZ3" i="37"/>
  <c r="DY3" i="37"/>
  <c r="DX3" i="37"/>
  <c r="DW3" i="37"/>
  <c r="DV3" i="37"/>
  <c r="DU3" i="37"/>
  <c r="DT3" i="37"/>
  <c r="DS3" i="37"/>
  <c r="DR3" i="37"/>
  <c r="DQ3" i="37"/>
  <c r="DP3" i="37"/>
  <c r="DO3" i="37"/>
  <c r="DN3" i="37"/>
  <c r="DM3" i="37"/>
  <c r="DL3" i="37"/>
  <c r="DK3" i="37"/>
  <c r="DJ3" i="37"/>
  <c r="DI3" i="37"/>
  <c r="DH3" i="37"/>
  <c r="DG3" i="37"/>
  <c r="DF3" i="37"/>
  <c r="DE3" i="37"/>
  <c r="DD3" i="37"/>
  <c r="DC3" i="37"/>
  <c r="DB3" i="37"/>
  <c r="DA3" i="37"/>
  <c r="CZ3" i="37"/>
  <c r="CY3" i="37"/>
  <c r="CX3" i="37"/>
  <c r="CW3" i="37"/>
  <c r="CV3" i="37"/>
  <c r="CU3" i="37"/>
  <c r="CT3" i="37"/>
  <c r="CS3" i="37"/>
  <c r="CR3" i="37"/>
  <c r="CQ3" i="37"/>
  <c r="CP3" i="37"/>
  <c r="CO3" i="37"/>
  <c r="CN3" i="37"/>
  <c r="CM3" i="37"/>
  <c r="CL3" i="37"/>
  <c r="CK3" i="37"/>
  <c r="CJ3" i="37"/>
  <c r="CI3" i="37"/>
  <c r="CH3" i="37"/>
  <c r="CG3" i="37"/>
  <c r="CF3" i="37"/>
  <c r="CE3" i="37"/>
  <c r="CD3" i="37"/>
  <c r="CC3" i="37"/>
  <c r="CB3" i="37"/>
  <c r="CA3" i="37"/>
  <c r="BZ3" i="37"/>
  <c r="BY3" i="37"/>
  <c r="BX3" i="37"/>
  <c r="BW3" i="37"/>
  <c r="BV3" i="37"/>
  <c r="BU3" i="37"/>
  <c r="BT3" i="37"/>
  <c r="BS3" i="37"/>
  <c r="BR3" i="37"/>
  <c r="BQ3" i="37"/>
  <c r="BP3" i="37"/>
  <c r="BO3" i="37"/>
  <c r="BN3" i="37"/>
  <c r="BM3" i="37"/>
  <c r="BL3" i="37"/>
  <c r="BK3" i="37"/>
  <c r="BJ3" i="37"/>
  <c r="BI3" i="37"/>
  <c r="BH3" i="37"/>
  <c r="BG3" i="37"/>
  <c r="BF3" i="37"/>
  <c r="BE3" i="37"/>
  <c r="BD3" i="37"/>
  <c r="BC3" i="37"/>
  <c r="BB3" i="37"/>
  <c r="BA3" i="37"/>
  <c r="AZ3" i="37"/>
  <c r="AY3" i="37"/>
  <c r="AX3" i="37"/>
  <c r="AW3" i="37"/>
  <c r="AV3" i="37"/>
  <c r="AU3" i="37"/>
  <c r="AT3" i="37"/>
  <c r="AS3" i="37"/>
  <c r="AR3" i="37"/>
  <c r="AQ3" i="37"/>
  <c r="AP3" i="37"/>
  <c r="AO3" i="37"/>
  <c r="AN3" i="37"/>
  <c r="AM3" i="37"/>
  <c r="AL3" i="37"/>
  <c r="AK3" i="37"/>
  <c r="AJ3" i="37"/>
  <c r="AI3" i="37"/>
  <c r="AH3" i="37"/>
  <c r="AG3" i="37"/>
  <c r="AF3" i="37"/>
  <c r="AE3" i="37"/>
  <c r="AD3" i="37"/>
  <c r="AC3" i="37"/>
  <c r="AB3" i="37"/>
  <c r="AA3" i="37"/>
  <c r="Z3" i="37"/>
  <c r="Y3" i="37"/>
  <c r="X3" i="37"/>
  <c r="W3" i="37"/>
  <c r="V3" i="37"/>
  <c r="U3" i="37"/>
  <c r="T3" i="37"/>
  <c r="S3" i="37"/>
  <c r="R3" i="37"/>
  <c r="Q3" i="37"/>
  <c r="P3" i="37"/>
  <c r="O3" i="37"/>
  <c r="N3" i="37"/>
  <c r="M3" i="37"/>
  <c r="L3" i="37"/>
  <c r="K3" i="37"/>
  <c r="J3" i="37"/>
  <c r="I3" i="37"/>
  <c r="H3" i="37"/>
  <c r="G3" i="37"/>
  <c r="F3" i="37"/>
  <c r="E3" i="37"/>
  <c r="D3" i="37"/>
  <c r="C3" i="37"/>
  <c r="B3" i="37"/>
  <c r="A3" i="37"/>
  <c r="IV2" i="37"/>
  <c r="IU2" i="37"/>
  <c r="IT2" i="37"/>
  <c r="IS2" i="37"/>
  <c r="IR2" i="37"/>
  <c r="IQ2" i="37"/>
  <c r="IP2" i="37"/>
  <c r="IO2" i="37"/>
  <c r="IN2" i="37"/>
  <c r="IM2" i="37"/>
  <c r="IL2" i="37"/>
  <c r="IK2" i="37"/>
  <c r="IJ2" i="37"/>
  <c r="II2" i="37"/>
  <c r="IH2" i="37"/>
  <c r="IG2" i="37"/>
  <c r="IF2" i="37"/>
  <c r="IE2" i="37"/>
  <c r="ID2" i="37"/>
  <c r="IC2" i="37"/>
  <c r="IB2" i="37"/>
  <c r="IA2" i="37"/>
  <c r="HZ2" i="37"/>
  <c r="HY2" i="37"/>
  <c r="HX2" i="37"/>
  <c r="HW2" i="37"/>
  <c r="HV2" i="37"/>
  <c r="HU2" i="37"/>
  <c r="HT2" i="37"/>
  <c r="HS2" i="37"/>
  <c r="HR2" i="37"/>
  <c r="HQ2" i="37"/>
  <c r="HP2" i="37"/>
  <c r="HO2" i="37"/>
  <c r="HN2" i="37"/>
  <c r="HM2" i="37"/>
  <c r="HL2" i="37"/>
  <c r="HK2" i="37"/>
  <c r="HJ2" i="37"/>
  <c r="HI2" i="37"/>
  <c r="HH2" i="37"/>
  <c r="HG2" i="37"/>
  <c r="HF2" i="37"/>
  <c r="HE2" i="37"/>
  <c r="HD2" i="37"/>
  <c r="HC2" i="37"/>
  <c r="HB2" i="37"/>
  <c r="HA2" i="37"/>
  <c r="GZ2" i="37"/>
  <c r="GY2" i="37"/>
  <c r="GX2" i="37"/>
  <c r="GW2" i="37"/>
  <c r="GV2" i="37"/>
  <c r="GU2" i="37"/>
  <c r="GT2" i="37"/>
  <c r="GS2" i="37"/>
  <c r="GR2" i="37"/>
  <c r="GQ2" i="37"/>
  <c r="GP2" i="37"/>
  <c r="GO2" i="37"/>
  <c r="GN2" i="37"/>
  <c r="GM2" i="37"/>
  <c r="GL2" i="37"/>
  <c r="GK2" i="37"/>
  <c r="GJ2" i="37"/>
  <c r="GI2" i="37"/>
  <c r="GH2" i="37"/>
  <c r="GG2" i="37"/>
  <c r="GF2" i="37"/>
  <c r="GE2" i="37"/>
  <c r="GD2" i="37"/>
  <c r="GC2" i="37"/>
  <c r="GB2" i="37"/>
  <c r="GA2" i="37"/>
  <c r="FZ2" i="37"/>
  <c r="FY2" i="37"/>
  <c r="FX2" i="37"/>
  <c r="FW2" i="37"/>
  <c r="FV2" i="37"/>
  <c r="FU2" i="37"/>
  <c r="FT2" i="37"/>
  <c r="FS2" i="37"/>
  <c r="FR2" i="37"/>
  <c r="FQ2" i="37"/>
  <c r="FP2" i="37"/>
  <c r="FO2" i="37"/>
  <c r="FN2" i="37"/>
  <c r="FM2" i="37"/>
  <c r="FL2" i="37"/>
  <c r="FK2" i="37"/>
  <c r="FJ2" i="37"/>
  <c r="FI2" i="37"/>
  <c r="FH2" i="37"/>
  <c r="FG2" i="37"/>
  <c r="FF2" i="37"/>
  <c r="FE2" i="37"/>
  <c r="FD2" i="37"/>
  <c r="FC2" i="37"/>
  <c r="FB2" i="37"/>
  <c r="FA2" i="37"/>
  <c r="EZ2" i="37"/>
  <c r="EY2" i="37"/>
  <c r="EX2" i="37"/>
  <c r="EW2" i="37"/>
  <c r="EV2" i="37"/>
  <c r="EU2" i="37"/>
  <c r="ET2" i="37"/>
  <c r="ES2" i="37"/>
  <c r="ER2" i="37"/>
  <c r="EQ2" i="37"/>
  <c r="EP2" i="37"/>
  <c r="EO2" i="37"/>
  <c r="EN2" i="37"/>
  <c r="EM2" i="37"/>
  <c r="EL2" i="37"/>
  <c r="EK2" i="37"/>
  <c r="EJ2" i="37"/>
  <c r="EI2" i="37"/>
  <c r="EH2" i="37"/>
  <c r="EG2" i="37"/>
  <c r="EF2" i="37"/>
  <c r="EE2" i="37"/>
  <c r="ED2" i="37"/>
  <c r="EC2" i="37"/>
  <c r="EB2" i="37"/>
  <c r="EA2" i="37"/>
  <c r="DZ2" i="37"/>
  <c r="DY2" i="37"/>
  <c r="DX2" i="37"/>
  <c r="DW2" i="37"/>
  <c r="DV2" i="37"/>
  <c r="DU2" i="37"/>
  <c r="DT2" i="37"/>
  <c r="DS2" i="37"/>
  <c r="DR2" i="37"/>
  <c r="DQ2" i="37"/>
  <c r="DP2" i="37"/>
  <c r="DO2" i="37"/>
  <c r="DN2" i="37"/>
  <c r="DM2" i="37"/>
  <c r="DL2" i="37"/>
  <c r="DK2" i="37"/>
  <c r="DJ2" i="37"/>
  <c r="DI2" i="37"/>
  <c r="DH2" i="37"/>
  <c r="DG2" i="37"/>
  <c r="DF2" i="37"/>
  <c r="DE2" i="37"/>
  <c r="DD2" i="37"/>
  <c r="DC2" i="37"/>
  <c r="DB2" i="37"/>
  <c r="DA2" i="37"/>
  <c r="CZ2" i="37"/>
  <c r="CY2" i="37"/>
  <c r="CX2" i="37"/>
  <c r="CW2" i="37"/>
  <c r="CV2" i="37"/>
  <c r="CU2" i="37"/>
  <c r="CT2" i="37"/>
  <c r="CS2" i="37"/>
  <c r="CR2" i="37"/>
  <c r="CQ2" i="37"/>
  <c r="CP2" i="37"/>
  <c r="CO2" i="37"/>
  <c r="CN2" i="37"/>
  <c r="CM2" i="37"/>
  <c r="CL2" i="37"/>
  <c r="CK2" i="37"/>
  <c r="CJ2" i="37"/>
  <c r="CI2" i="37"/>
  <c r="CH2" i="37"/>
  <c r="CG2" i="37"/>
  <c r="CF2" i="37"/>
  <c r="CE2" i="37"/>
  <c r="CD2" i="37"/>
  <c r="CC2" i="37"/>
  <c r="CB2" i="37"/>
  <c r="CA2" i="37"/>
  <c r="BZ2" i="37"/>
  <c r="BY2" i="37"/>
  <c r="BX2" i="37"/>
  <c r="BW2" i="37"/>
  <c r="BV2" i="37"/>
  <c r="BU2" i="37"/>
  <c r="BT2" i="37"/>
  <c r="BS2" i="37"/>
  <c r="BR2" i="37"/>
  <c r="BQ2" i="37"/>
  <c r="BP2" i="37"/>
  <c r="BO2" i="37"/>
  <c r="BN2" i="37"/>
  <c r="BM2" i="37"/>
  <c r="BL2" i="37"/>
  <c r="BK2" i="37"/>
  <c r="BJ2" i="37"/>
  <c r="BI2" i="37"/>
  <c r="BH2" i="37"/>
  <c r="BG2" i="37"/>
  <c r="BF2" i="37"/>
  <c r="BE2" i="37"/>
  <c r="BD2" i="37"/>
  <c r="BC2" i="37"/>
  <c r="BB2" i="37"/>
  <c r="BA2" i="37"/>
  <c r="AZ2" i="37"/>
  <c r="AY2" i="37"/>
  <c r="AX2" i="37"/>
  <c r="AW2" i="37"/>
  <c r="AV2" i="37"/>
  <c r="AU2" i="37"/>
  <c r="AT2" i="37"/>
  <c r="AS2" i="37"/>
  <c r="AR2" i="37"/>
  <c r="AQ2" i="37"/>
  <c r="AP2" i="37"/>
  <c r="AO2" i="37"/>
  <c r="AN2" i="37"/>
  <c r="AM2" i="37"/>
  <c r="AL2" i="37"/>
  <c r="AK2" i="37"/>
  <c r="AJ2" i="37"/>
  <c r="AI2" i="37"/>
  <c r="AH2" i="37"/>
  <c r="AG2" i="37"/>
  <c r="AF2" i="37"/>
  <c r="AE2" i="37"/>
  <c r="AD2" i="37"/>
  <c r="AC2" i="37"/>
  <c r="AB2" i="37"/>
  <c r="AA2" i="37"/>
  <c r="Z2" i="37"/>
  <c r="Y2" i="37"/>
  <c r="X2" i="37"/>
  <c r="W2" i="37"/>
  <c r="V2" i="37"/>
  <c r="U2" i="37"/>
  <c r="T2" i="37"/>
  <c r="S2" i="37"/>
  <c r="R2" i="37"/>
  <c r="Q2" i="37"/>
  <c r="P2" i="37"/>
  <c r="O2" i="37"/>
  <c r="N2" i="37"/>
  <c r="M2" i="37"/>
  <c r="L2" i="37"/>
  <c r="J2" i="37"/>
  <c r="I2" i="37"/>
  <c r="H2" i="37"/>
  <c r="G2" i="37"/>
  <c r="F2" i="37"/>
  <c r="E2" i="37"/>
  <c r="D2" i="37"/>
  <c r="C2" i="37"/>
  <c r="B2" i="37"/>
  <c r="A2" i="37"/>
  <c r="IV1" i="37"/>
  <c r="IU1" i="37"/>
  <c r="IT1" i="37"/>
  <c r="IS1" i="37"/>
  <c r="IR1" i="37"/>
  <c r="IQ1" i="37"/>
  <c r="IP1" i="37"/>
  <c r="IO1" i="37"/>
  <c r="IN1" i="37"/>
  <c r="IM1" i="37"/>
  <c r="IL1" i="37"/>
  <c r="IK1" i="37"/>
  <c r="IJ1" i="37"/>
  <c r="II1" i="37"/>
  <c r="IH1" i="37"/>
  <c r="IG1" i="37"/>
  <c r="IF1" i="37"/>
  <c r="IE1" i="37"/>
  <c r="ID1" i="37"/>
  <c r="IC1" i="37"/>
  <c r="IB1" i="37"/>
  <c r="IA1" i="37"/>
  <c r="HZ1" i="37"/>
  <c r="HY1" i="37"/>
  <c r="HX1" i="37"/>
  <c r="HW1" i="37"/>
  <c r="HV1" i="37"/>
  <c r="HU1" i="37"/>
  <c r="HT1" i="37"/>
  <c r="HS1" i="37"/>
  <c r="HR1" i="37"/>
  <c r="HQ1" i="37"/>
  <c r="HP1" i="37"/>
  <c r="HO1" i="37"/>
  <c r="HN1" i="37"/>
  <c r="HM1" i="37"/>
  <c r="HL1" i="37"/>
  <c r="HK1" i="37"/>
  <c r="HJ1" i="37"/>
  <c r="HI1" i="37"/>
  <c r="HH1" i="37"/>
  <c r="HG1" i="37"/>
  <c r="HF1" i="37"/>
  <c r="HE1" i="37"/>
  <c r="HD1" i="37"/>
  <c r="HC1" i="37"/>
  <c r="HB1" i="37"/>
  <c r="HA1" i="37"/>
  <c r="GZ1" i="37"/>
  <c r="GY1" i="37"/>
  <c r="GX1" i="37"/>
  <c r="GW1" i="37"/>
  <c r="GV1" i="37"/>
  <c r="GU1" i="37"/>
  <c r="GT1" i="37"/>
  <c r="GS1" i="37"/>
  <c r="GR1" i="37"/>
  <c r="GQ1" i="37"/>
  <c r="GP1" i="37"/>
  <c r="GO1" i="37"/>
  <c r="GN1" i="37"/>
  <c r="GM1" i="37"/>
  <c r="GL1" i="37"/>
  <c r="GK1" i="37"/>
  <c r="GJ1" i="37"/>
  <c r="GI1" i="37"/>
  <c r="GH1" i="37"/>
  <c r="GG1" i="37"/>
  <c r="GF1" i="37"/>
  <c r="GE1" i="37"/>
  <c r="GD1" i="37"/>
  <c r="GC1" i="37"/>
  <c r="GB1" i="37"/>
  <c r="GA1" i="37"/>
  <c r="FZ1" i="37"/>
  <c r="FY1" i="37"/>
  <c r="FX1" i="37"/>
  <c r="FW1" i="37"/>
  <c r="FV1" i="37"/>
  <c r="FU1" i="37"/>
  <c r="FT1" i="37"/>
  <c r="FS1" i="37"/>
  <c r="FR1" i="37"/>
  <c r="FQ1" i="37"/>
  <c r="FP1" i="37"/>
  <c r="FO1" i="37"/>
  <c r="FN1" i="37"/>
  <c r="FM1" i="37"/>
  <c r="FL1" i="37"/>
  <c r="FK1" i="37"/>
  <c r="FJ1" i="37"/>
  <c r="FI1" i="37"/>
  <c r="FH1" i="37"/>
  <c r="FG1" i="37"/>
  <c r="FF1" i="37"/>
  <c r="FE1" i="37"/>
  <c r="FD1" i="37"/>
  <c r="FC1" i="37"/>
  <c r="FB1" i="37"/>
  <c r="FA1" i="37"/>
  <c r="EZ1" i="37"/>
  <c r="EY1" i="37"/>
  <c r="EX1" i="37"/>
  <c r="EW1" i="37"/>
  <c r="EV1" i="37"/>
  <c r="EU1" i="37"/>
  <c r="ET1" i="37"/>
  <c r="ES1" i="37"/>
  <c r="ER1" i="37"/>
  <c r="EQ1" i="37"/>
  <c r="EP1" i="37"/>
  <c r="EO1" i="37"/>
  <c r="EN1" i="37"/>
  <c r="EM1" i="37"/>
  <c r="EL1" i="37"/>
  <c r="EK1" i="37"/>
  <c r="EJ1" i="37"/>
  <c r="EI1" i="37"/>
  <c r="EH1" i="37"/>
  <c r="EG1" i="37"/>
  <c r="EF1" i="37"/>
  <c r="EE1" i="37"/>
  <c r="ED1" i="37"/>
  <c r="EC1" i="37"/>
  <c r="EB1" i="37"/>
  <c r="EA1" i="37"/>
  <c r="DZ1" i="37"/>
  <c r="DY1" i="37"/>
  <c r="DX1" i="37"/>
  <c r="DW1" i="37"/>
  <c r="DV1" i="37"/>
  <c r="DU1" i="37"/>
  <c r="DT1" i="37"/>
  <c r="DS1" i="37"/>
  <c r="DR1" i="37"/>
  <c r="DQ1" i="37"/>
  <c r="DP1" i="37"/>
  <c r="DO1" i="37"/>
  <c r="DN1" i="37"/>
  <c r="DM1" i="37"/>
  <c r="DL1" i="37"/>
  <c r="DK1" i="37"/>
  <c r="DJ1" i="37"/>
  <c r="DI1" i="37"/>
  <c r="DH1" i="37"/>
  <c r="DG1" i="37"/>
  <c r="DF1" i="37"/>
  <c r="DE1" i="37"/>
  <c r="DD1" i="37"/>
  <c r="DC1" i="37"/>
  <c r="DB1" i="37"/>
  <c r="DA1" i="37"/>
  <c r="CZ1" i="37"/>
  <c r="CY1" i="37"/>
  <c r="CX1" i="37"/>
  <c r="CW1" i="37"/>
  <c r="CV1" i="37"/>
  <c r="CU1" i="37"/>
  <c r="CT1" i="37"/>
  <c r="CS1" i="37"/>
  <c r="CR1" i="37"/>
  <c r="CQ1" i="37"/>
  <c r="CP1" i="37"/>
  <c r="CO1" i="37"/>
  <c r="CN1" i="37"/>
  <c r="CM1" i="37"/>
  <c r="CL1" i="37"/>
  <c r="CK1" i="37"/>
  <c r="CJ1" i="37"/>
  <c r="CI1" i="37"/>
  <c r="CH1" i="37"/>
  <c r="CG1" i="37"/>
  <c r="CF1" i="37"/>
  <c r="CE1" i="37"/>
  <c r="CD1" i="37"/>
  <c r="CC1" i="37"/>
  <c r="CB1" i="37"/>
  <c r="CA1" i="37"/>
  <c r="BZ1" i="37"/>
  <c r="BY1" i="37"/>
  <c r="BX1" i="37"/>
  <c r="BW1" i="37"/>
  <c r="BV1" i="37"/>
  <c r="BU1" i="37"/>
  <c r="BT1" i="37"/>
  <c r="BS1" i="37"/>
  <c r="BR1" i="37"/>
  <c r="BQ1" i="37"/>
  <c r="BP1" i="37"/>
  <c r="BO1" i="37"/>
  <c r="BN1" i="37"/>
  <c r="BM1" i="37"/>
  <c r="BL1" i="37"/>
  <c r="BK1" i="37"/>
  <c r="BJ1" i="37"/>
  <c r="BI1" i="37"/>
  <c r="BH1" i="37"/>
  <c r="BG1" i="37"/>
  <c r="BF1" i="37"/>
  <c r="BE1" i="37"/>
  <c r="BD1" i="37"/>
  <c r="BC1" i="37"/>
  <c r="BB1" i="37"/>
  <c r="BA1" i="37"/>
  <c r="AZ1" i="37"/>
  <c r="AY1" i="37"/>
  <c r="AX1" i="37"/>
  <c r="AW1" i="37"/>
  <c r="AV1" i="37"/>
  <c r="AU1" i="37"/>
  <c r="AT1" i="37"/>
  <c r="AS1" i="37"/>
  <c r="AR1" i="37"/>
  <c r="AQ1" i="37"/>
  <c r="AP1" i="37"/>
  <c r="AO1" i="37"/>
  <c r="AN1" i="37"/>
  <c r="AM1" i="37"/>
  <c r="AL1" i="37"/>
  <c r="AK1" i="37"/>
  <c r="AJ1" i="37"/>
  <c r="AI1" i="37"/>
  <c r="AH1" i="37"/>
  <c r="AG1" i="37"/>
  <c r="AF1" i="37"/>
  <c r="AE1" i="37"/>
  <c r="AD1" i="37"/>
  <c r="AC1" i="37"/>
  <c r="AB1" i="37"/>
  <c r="AA1" i="37"/>
  <c r="Z1" i="37"/>
  <c r="Y1" i="37"/>
  <c r="X1" i="37"/>
  <c r="W1" i="37"/>
  <c r="V1" i="37"/>
  <c r="U1" i="37"/>
  <c r="T1" i="37"/>
  <c r="S1" i="37"/>
  <c r="R1" i="37"/>
  <c r="Q1" i="37"/>
  <c r="P1" i="37"/>
  <c r="O1" i="37"/>
  <c r="N1" i="37"/>
  <c r="M1" i="37"/>
  <c r="L1" i="37"/>
  <c r="K1" i="37"/>
  <c r="J1" i="37"/>
  <c r="I1" i="37"/>
  <c r="H1" i="37"/>
  <c r="G1" i="37"/>
  <c r="F1" i="37"/>
  <c r="E1" i="37"/>
  <c r="D1" i="37"/>
  <c r="C1" i="37"/>
  <c r="B1" i="37"/>
  <c r="A1" i="37"/>
  <c r="B17" i="14"/>
  <c r="B24" i="14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M4" i="40" l="1"/>
  <c r="M5" i="40" l="1"/>
  <c r="K2" i="37" l="1"/>
</calcChain>
</file>

<file path=xl/sharedStrings.xml><?xml version="1.0" encoding="utf-8"?>
<sst xmlns="http://schemas.openxmlformats.org/spreadsheetml/2006/main" count="253" uniqueCount="199">
  <si>
    <t>Day</t>
  </si>
  <si>
    <t>Cost /metre</t>
  </si>
  <si>
    <t>Activity</t>
  </si>
  <si>
    <t>Drilling time</t>
  </si>
  <si>
    <t>Total Time</t>
  </si>
  <si>
    <t>Non Drilling time</t>
  </si>
  <si>
    <t>AFE Est cost</t>
  </si>
  <si>
    <t>Act Cost</t>
  </si>
  <si>
    <t>TD metres</t>
  </si>
  <si>
    <t>Total Avg ROP</t>
  </si>
  <si>
    <t>Rig</t>
  </si>
  <si>
    <t>Total</t>
  </si>
  <si>
    <t>Days to TD</t>
  </si>
  <si>
    <t>Total Days on Location</t>
  </si>
  <si>
    <t>Move to next Location</t>
  </si>
  <si>
    <t>Days TD to Release</t>
  </si>
  <si>
    <t>TD mtrs</t>
  </si>
  <si>
    <t>Insurance</t>
  </si>
  <si>
    <t>Site preparation</t>
  </si>
  <si>
    <t>Wellhead equipment</t>
  </si>
  <si>
    <t>Drill bits</t>
  </si>
  <si>
    <t>Rig move</t>
  </si>
  <si>
    <t>Logging</t>
  </si>
  <si>
    <t>Mobilisation/Demobilisation</t>
  </si>
  <si>
    <t>AAAAAB/3/6Y=</t>
  </si>
  <si>
    <t>AAAAAB/3/6c=</t>
  </si>
  <si>
    <t>Drilling Cost (AFI)</t>
  </si>
  <si>
    <t>AAAAABt//gA=</t>
  </si>
  <si>
    <t>AAAAABt//gE=</t>
  </si>
  <si>
    <t>AAAAAHYv9gA=</t>
  </si>
  <si>
    <t>AAAAAHYv9gE=</t>
  </si>
  <si>
    <t>Drilling rig</t>
  </si>
  <si>
    <t>Описание работ</t>
  </si>
  <si>
    <t>Подготовка ствола скважины (проработка, промывка)</t>
  </si>
  <si>
    <t>ОЗЦ</t>
  </si>
  <si>
    <t>Оборудование устья скважины воронкой</t>
  </si>
  <si>
    <t>Бурение под 324мм кондуктор с огранич нагрузкой и со сборкой КНБК</t>
  </si>
  <si>
    <t>Бурение под 324мм кондуктор с шаблонировкой ствола скважины</t>
  </si>
  <si>
    <t>Подъем б/и</t>
  </si>
  <si>
    <t>ГИС</t>
  </si>
  <si>
    <t>Подготовка ствола скважины к спуску 324мм кондуктора</t>
  </si>
  <si>
    <t>Спуск 324мм кондуктора</t>
  </si>
  <si>
    <t>Цементирование 324мм кондуктора</t>
  </si>
  <si>
    <t xml:space="preserve">Оборудование устья скважины КГ, монтаж ПВО, опрессовка </t>
  </si>
  <si>
    <t>Подготовка ствола под ГИС, подъем б/и</t>
  </si>
  <si>
    <t>Подготовка ствола скважины к спуску 245мм тех.колонны</t>
  </si>
  <si>
    <t>Оборудование устья скважины, монтаж ПВО, опрессовка</t>
  </si>
  <si>
    <t>ГИС (корелляционный каротаж)</t>
  </si>
  <si>
    <t>Смена КНБК для отбора керна, спуск керноотборного снаряда</t>
  </si>
  <si>
    <t>Оборудование устья скважины, монтаж ФА, опрессовка</t>
  </si>
  <si>
    <t>Detailed information</t>
  </si>
  <si>
    <t xml:space="preserve">№ </t>
  </si>
  <si>
    <t>Продол</t>
  </si>
  <si>
    <t>Нараст</t>
  </si>
  <si>
    <t>Колич-во</t>
  </si>
  <si>
    <t>Забой</t>
  </si>
  <si>
    <t>в часах</t>
  </si>
  <si>
    <t>час.</t>
  </si>
  <si>
    <t>суток</t>
  </si>
  <si>
    <t>метр.</t>
  </si>
  <si>
    <t>#</t>
  </si>
  <si>
    <t>Work description</t>
  </si>
  <si>
    <t>Duration</t>
  </si>
  <si>
    <t>Increase</t>
  </si>
  <si>
    <t>Q-ty</t>
  </si>
  <si>
    <t>Depth</t>
  </si>
  <si>
    <t>hours</t>
  </si>
  <si>
    <t>days</t>
  </si>
  <si>
    <t>meter</t>
  </si>
  <si>
    <t>Подготовительные работы к бурению (наворот 508мм долото к УБТ)</t>
  </si>
  <si>
    <t>Preparation Work (connect 508mm drill bit to DC)</t>
  </si>
  <si>
    <t>Бурение под 426 мм направление</t>
  </si>
  <si>
    <t>Drilling hole for 426mm casing</t>
  </si>
  <si>
    <t>Preparation borehole (reaming, circulation)</t>
  </si>
  <si>
    <t>Подготовка и спуск 426мм направления (сварочные работы)</t>
  </si>
  <si>
    <t>Preparation and run 426mm casing (welding job)</t>
  </si>
  <si>
    <t>Цементирование 426мм направления</t>
  </si>
  <si>
    <t>Cement the casing 426mm</t>
  </si>
  <si>
    <t>WOC</t>
  </si>
  <si>
    <t>Setup the mouth with socket</t>
  </si>
  <si>
    <t>Сборка КНБК для бурения под 324мм кондуктор</t>
  </si>
  <si>
    <t>Make up the BHA for 324mm surface drilling</t>
  </si>
  <si>
    <t>324mm surface hole drilling minimize WOB</t>
  </si>
  <si>
    <t xml:space="preserve">324mm surface hole drilling with wiper trip </t>
  </si>
  <si>
    <t>POOH</t>
  </si>
  <si>
    <t>Preparation borehole for running surface casing</t>
  </si>
  <si>
    <t>Run the surface casing 324mm</t>
  </si>
  <si>
    <t>Cement the surface casing 324mm</t>
  </si>
  <si>
    <t>Setup the wellhead, BOP installation, pressure test</t>
  </si>
  <si>
    <t>Сборка КНБК для бурения под 245мм тех.колонну, спуск б/и</t>
  </si>
  <si>
    <t>Make up the BHA for 245mm casing drilling, RIH</t>
  </si>
  <si>
    <t xml:space="preserve">Разбуривание ЦКОД и цем.стакана, углубл на 10м, опрессовка ц.к. </t>
  </si>
  <si>
    <t xml:space="preserve">Drill out shoe and cement sleeve 10 meters, pressure test </t>
  </si>
  <si>
    <t xml:space="preserve">Подъем, установка КЛС в КНБК, спуск инструмента </t>
  </si>
  <si>
    <t>POOH, setup Stabilizer in BHA, RIH</t>
  </si>
  <si>
    <t>Бурение под 245мм тех.колонну с шаблонировкой ствола скв.</t>
  </si>
  <si>
    <t xml:space="preserve">245mm bore hole drilling with wiper trip </t>
  </si>
  <si>
    <t>Preparation borehole for running intermediate casing</t>
  </si>
  <si>
    <t>Спуск 245мм тех.колонны, промывка</t>
  </si>
  <si>
    <t>Run the intermediate casing 245mm</t>
  </si>
  <si>
    <t>Цементирование 245мм тех.колонны</t>
  </si>
  <si>
    <t>Cement the intermediate casing 245mm</t>
  </si>
  <si>
    <t>Сборка КНБК для бурения под экс.колонну, спуск б/и</t>
  </si>
  <si>
    <t>Make up the BHA for production casing drilling, RIH</t>
  </si>
  <si>
    <t>Разбуривание ЦКОД и цем.стакана, углубление на 10м, опрессовка ц/к</t>
  </si>
  <si>
    <t>Бурение под экс.колонну до гл.1760м, подъем б/и</t>
  </si>
  <si>
    <t>Production casing drilling to depth 1760 meters, POOH</t>
  </si>
  <si>
    <t>Correlation logging</t>
  </si>
  <si>
    <t>Спуск б/и, бурение до гл.1785м, подъем б/и</t>
  </si>
  <si>
    <t>RIH, drilling to 1785 meter depth, POOH</t>
  </si>
  <si>
    <t>Change BHA for coring, RIH CB</t>
  </si>
  <si>
    <t>Бурение с отбором керна в инт. 1785-1794м, подъем б/и</t>
  </si>
  <si>
    <t>Core drilling in the interval 1785-1974m, POOH</t>
  </si>
  <si>
    <t>Смена КНБК для бурения, спуск б/и</t>
  </si>
  <si>
    <t>Change BHA for drilling, RIH drilling bit</t>
  </si>
  <si>
    <t>Бурение под экс.колонну до гл.1920м, подъем б/и</t>
  </si>
  <si>
    <t>Production casing drilling to depth 1920 meters, POOH</t>
  </si>
  <si>
    <t>Бурение с отбором керна в инт.1920-1929м, подъем б/и</t>
  </si>
  <si>
    <t>Core drilling in the interval 1920-1929m, POOH</t>
  </si>
  <si>
    <t>Бурение под экс.колонну до гл.2020м, подъем б/и</t>
  </si>
  <si>
    <t>Production casing drilling to depth 2020 meters, POOH</t>
  </si>
  <si>
    <t>Спуск б/и, бурение до гл.2042м, подъем б/и</t>
  </si>
  <si>
    <t>RIH, drilling to 2042 meter depth, POOH</t>
  </si>
  <si>
    <t>Бурение с отбором керна в инт.2042-2051м, подъем б/и</t>
  </si>
  <si>
    <t>Core drilling in the interval 2042-2051m, POOH</t>
  </si>
  <si>
    <t>Бурение под экс.колонну до гл.2101м, подъем б/и</t>
  </si>
  <si>
    <t>Production casing drilling to depth 2101 meters, POOH</t>
  </si>
  <si>
    <t>Бурение с отбором керна в инт.2101-2110м, подъем б/и</t>
  </si>
  <si>
    <t>Core drilling in the interval 2101-2110m, POOH</t>
  </si>
  <si>
    <t>Бурение под экс.колонну до гл.2132м, подъем б/и</t>
  </si>
  <si>
    <t>Production casing drilling to depth 2132 meters, POOH</t>
  </si>
  <si>
    <t>Бурение с отбором керна в инт.2132-2150м, подъем б/и</t>
  </si>
  <si>
    <t>Core drilling in the interval 2132-2150m, POOH</t>
  </si>
  <si>
    <t>Спуск керноотборного снаряда, бур. с отбором керна в инт.2150-2159м, подъем б/и</t>
  </si>
  <si>
    <t>RIH CB, core drilling in the interval 2150-2159m, POOH</t>
  </si>
  <si>
    <t>Бурение под экс.колонну до гл.2193м, подъем б/и</t>
  </si>
  <si>
    <t>Production casing drilling to depth 2193 meters, POOH</t>
  </si>
  <si>
    <t>Бурение с отбором керна в инт.2193-2211м, подъем б/и</t>
  </si>
  <si>
    <t>Core drilling in the interval 2193-2211m, POOH</t>
  </si>
  <si>
    <t>Бурение под экс.колонну до гл.2280м, подъем б/и</t>
  </si>
  <si>
    <t>Production casing drilling to depth 2280 meters, POOH</t>
  </si>
  <si>
    <t>Спуск б/и, бурение до гл.2300м, подъем б/и</t>
  </si>
  <si>
    <t>RIH drilling bit, production casing drilling to depth 2300 meters, POOH</t>
  </si>
  <si>
    <t>Бурение с отбором керна в инт.2300-2318м, подъем б/и</t>
  </si>
  <si>
    <t>Core drilling in the interval 2300-2318m, POOH</t>
  </si>
  <si>
    <t>Спуск керноотборного снаряда, бур. с отбором керна в инт.2318-2336м, подъем б/и</t>
  </si>
  <si>
    <t>RIH CB, core drilling in the interval 2318-2336m, POOH</t>
  </si>
  <si>
    <t>Бурение под экс.колонну до гл.2750м с шаблонировкой ствола скв.</t>
  </si>
  <si>
    <t>Production casing drilling to depth 2750 meters, POOH</t>
  </si>
  <si>
    <t>Preparation borehole for logging, POOH</t>
  </si>
  <si>
    <t>Подготовка ствола скв к спуску 168мм экс.колонны, подъем с выбросом б/и</t>
  </si>
  <si>
    <t>Preparation borehole for production casing 168mm running, laying-down of drill pipes</t>
  </si>
  <si>
    <t>Спуск 168мм экс. колонны, промывка</t>
  </si>
  <si>
    <t>Running 168mm production casing, circulation</t>
  </si>
  <si>
    <t>Цементирование 168мм экс.колонны (I и II ступени)</t>
  </si>
  <si>
    <t>Cement the production casing 168mm (I and II stage)</t>
  </si>
  <si>
    <t>Wellhead and X-tree installation, pressure test</t>
  </si>
  <si>
    <t>Forecast</t>
  </si>
  <si>
    <t>Actual</t>
  </si>
  <si>
    <t>Forecast, $</t>
  </si>
  <si>
    <t>Actual, $</t>
  </si>
  <si>
    <t>Int Result</t>
  </si>
  <si>
    <t>Chart</t>
  </si>
  <si>
    <t>Difference</t>
  </si>
  <si>
    <t>No VAT</t>
  </si>
  <si>
    <t>Data</t>
  </si>
  <si>
    <t>Casing/Tubing and etc</t>
  </si>
  <si>
    <t>Bottom hole assemblies</t>
  </si>
  <si>
    <t>Services of casing running</t>
  </si>
  <si>
    <t>Supply of technical water and diesel fuel</t>
  </si>
  <si>
    <t>Drilling mud, chemicals, engineering</t>
  </si>
  <si>
    <t>Cementing of casings</t>
  </si>
  <si>
    <t>Moving out used mud and drill cuttings</t>
  </si>
  <si>
    <t>Mud logging station</t>
  </si>
  <si>
    <t>Blowout prevention</t>
  </si>
  <si>
    <t>Logging, Testing (in hole)</t>
  </si>
  <si>
    <t>Coring</t>
  </si>
  <si>
    <t>Well Testing (surface)</t>
  </si>
  <si>
    <t>Drilling supervising (2DSI+4DSV)</t>
  </si>
  <si>
    <t>Drilling for conductor, 20-200m</t>
  </si>
  <si>
    <t>Logging, 20-200, RIH D20" Cementing, WOC, equipping casing head, BOP, pressure test</t>
  </si>
  <si>
    <t>Drilling for intermediate casing 200-2500m</t>
  </si>
  <si>
    <t>Logging, RIH intermediate casing D13 3/8", Cementing, WOC, BOP, pressure test</t>
  </si>
  <si>
    <t xml:space="preserve">Drilling for intermediate casing 2500-4950m </t>
  </si>
  <si>
    <t>Logging 2500-49500m, RIH intermediate casing D9 7/8+D9 5/8, cementing, WOC, rigging up BOP, pressure test (bottom of sult dome)</t>
  </si>
  <si>
    <t>Drilling for casing 4950-5550 with core</t>
  </si>
  <si>
    <t>Logging 4950-5500m, VSP, RIH casing D7, cementing, WOC, Well Head, pressure test, CBL</t>
  </si>
  <si>
    <t>RIH, cementing D30", WOC</t>
  </si>
  <si>
    <t>Drilling 0-20m</t>
  </si>
  <si>
    <t>Avg ROP 30"</t>
  </si>
  <si>
    <t>Avg ROP 20</t>
  </si>
  <si>
    <t>Avg ROP 13 3/8"</t>
  </si>
  <si>
    <t>Avg ROP 7"</t>
  </si>
  <si>
    <t>Avg ROP 9 7/8" and 9 5/8"</t>
  </si>
  <si>
    <t>Including Coring</t>
  </si>
  <si>
    <t>Act Cost per metre</t>
  </si>
  <si>
    <t>Rig Name</t>
  </si>
  <si>
    <t>Well#</t>
  </si>
  <si>
    <t>Well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</si>
</sst>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[h]:mm"/>
    <numFmt numFmtId="167" formatCode="[h]"/>
    <numFmt numFmtId="168" formatCode="[hh]:mm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  <charset val="204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</font>
    <font>
      <sz val="10"/>
      <color theme="1"/>
      <name val="Arial"/>
      <family val="2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0" fillId="0" borderId="0" xfId="0" applyBorder="1"/>
    <xf numFmtId="0" fontId="3" fillId="0" borderId="0" xfId="0" applyFont="1" applyBorder="1"/>
    <xf numFmtId="2" fontId="0" fillId="0" borderId="0" xfId="0" applyNumberFormat="1" applyBorder="1"/>
    <xf numFmtId="0" fontId="3" fillId="0" borderId="0" xfId="0" applyFont="1"/>
    <xf numFmtId="165" fontId="0" fillId="0" borderId="0" xfId="2" applyNumberFormat="1" applyFont="1"/>
    <xf numFmtId="0" fontId="0" fillId="0" borderId="0" xfId="0" quotePrefix="1"/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0" fontId="0" fillId="0" borderId="0" xfId="0" applyFill="1"/>
    <xf numFmtId="20" fontId="5" fillId="0" borderId="0" xfId="0" applyNumberFormat="1" applyFont="1" applyFill="1"/>
    <xf numFmtId="166" fontId="5" fillId="0" borderId="0" xfId="0" applyNumberFormat="1" applyFont="1" applyFill="1"/>
    <xf numFmtId="0" fontId="0" fillId="0" borderId="0" xfId="0" applyFill="1" applyBorder="1"/>
    <xf numFmtId="20" fontId="4" fillId="0" borderId="0" xfId="0" applyNumberFormat="1" applyFont="1" applyFill="1"/>
    <xf numFmtId="166" fontId="0" fillId="0" borderId="0" xfId="0" applyNumberFormat="1" applyFill="1"/>
    <xf numFmtId="166" fontId="4" fillId="0" borderId="0" xfId="0" applyNumberFormat="1" applyFont="1" applyFill="1"/>
    <xf numFmtId="20" fontId="0" fillId="0" borderId="0" xfId="0" applyNumberFormat="1" applyFill="1"/>
    <xf numFmtId="166" fontId="3" fillId="0" borderId="0" xfId="0" applyNumberFormat="1" applyFont="1" applyFill="1" applyBorder="1"/>
    <xf numFmtId="166" fontId="3" fillId="0" borderId="0" xfId="0" applyNumberFormat="1" applyFont="1" applyFill="1"/>
    <xf numFmtId="167" fontId="0" fillId="0" borderId="0" xfId="0" applyNumberFormat="1" applyFill="1"/>
    <xf numFmtId="0" fontId="4" fillId="0" borderId="0" xfId="0" applyFont="1" applyBorder="1"/>
    <xf numFmtId="164" fontId="0" fillId="0" borderId="0" xfId="0" applyNumberFormat="1"/>
    <xf numFmtId="2" fontId="7" fillId="0" borderId="0" xfId="0" applyNumberFormat="1" applyFont="1"/>
    <xf numFmtId="0" fontId="12" fillId="0" borderId="0" xfId="0" applyFont="1"/>
    <xf numFmtId="165" fontId="11" fillId="0" borderId="5" xfId="2" applyNumberFormat="1" applyFont="1" applyBorder="1"/>
    <xf numFmtId="164" fontId="0" fillId="3" borderId="0" xfId="0" applyNumberFormat="1" applyFill="1" applyBorder="1"/>
    <xf numFmtId="165" fontId="0" fillId="3" borderId="0" xfId="2" applyNumberFormat="1" applyFont="1" applyFill="1"/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0" fillId="0" borderId="0" xfId="0" applyFont="1" applyFill="1"/>
    <xf numFmtId="0" fontId="10" fillId="0" borderId="2" xfId="0" applyFont="1" applyFill="1" applyBorder="1"/>
    <xf numFmtId="2" fontId="7" fillId="0" borderId="0" xfId="0" applyNumberFormat="1" applyFont="1" applyFill="1"/>
    <xf numFmtId="0" fontId="11" fillId="0" borderId="0" xfId="0" applyFont="1"/>
    <xf numFmtId="166" fontId="12" fillId="0" borderId="0" xfId="0" applyNumberFormat="1" applyFont="1"/>
    <xf numFmtId="0" fontId="11" fillId="0" borderId="0" xfId="0" applyFont="1" applyBorder="1"/>
    <xf numFmtId="0" fontId="15" fillId="0" borderId="3" xfId="3" applyFont="1" applyBorder="1"/>
    <xf numFmtId="0" fontId="15" fillId="0" borderId="0" xfId="3" applyFont="1" applyBorder="1"/>
    <xf numFmtId="0" fontId="15" fillId="4" borderId="3" xfId="3" applyFont="1" applyFill="1" applyBorder="1"/>
    <xf numFmtId="0" fontId="15" fillId="0" borderId="17" xfId="3" applyFont="1" applyBorder="1"/>
    <xf numFmtId="0" fontId="15" fillId="0" borderId="3" xfId="3" applyFont="1" applyBorder="1" applyAlignment="1"/>
    <xf numFmtId="0" fontId="16" fillId="0" borderId="3" xfId="3" applyFont="1" applyBorder="1" applyAlignment="1">
      <alignment horizontal="center"/>
    </xf>
    <xf numFmtId="2" fontId="16" fillId="0" borderId="3" xfId="3" applyNumberFormat="1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2" fontId="16" fillId="0" borderId="9" xfId="3" applyNumberFormat="1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16" fillId="0" borderId="12" xfId="3" applyFont="1" applyBorder="1" applyAlignment="1">
      <alignment horizontal="center"/>
    </xf>
    <xf numFmtId="0" fontId="15" fillId="0" borderId="7" xfId="3" applyFont="1" applyBorder="1"/>
    <xf numFmtId="0" fontId="16" fillId="0" borderId="7" xfId="3" applyFont="1" applyBorder="1" applyAlignment="1">
      <alignment horizontal="center"/>
    </xf>
    <xf numFmtId="2" fontId="16" fillId="0" borderId="7" xfId="3" applyNumberFormat="1" applyFont="1" applyBorder="1" applyAlignment="1">
      <alignment horizontal="center"/>
    </xf>
    <xf numFmtId="0" fontId="16" fillId="0" borderId="14" xfId="3" applyFont="1" applyBorder="1" applyAlignment="1">
      <alignment horizontal="center"/>
    </xf>
    <xf numFmtId="0" fontId="15" fillId="0" borderId="9" xfId="3" applyFont="1" applyBorder="1"/>
    <xf numFmtId="1" fontId="0" fillId="0" borderId="0" xfId="0" applyNumberFormat="1"/>
    <xf numFmtId="0" fontId="3" fillId="2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/>
    <xf numFmtId="3" fontId="17" fillId="0" borderId="0" xfId="3" applyNumberFormat="1" applyFont="1" applyFill="1" applyAlignment="1">
      <alignment horizontal="right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3" fontId="0" fillId="0" borderId="0" xfId="0" applyNumberFormat="1"/>
    <xf numFmtId="0" fontId="18" fillId="0" borderId="0" xfId="0" applyFont="1"/>
    <xf numFmtId="0" fontId="11" fillId="0" borderId="0" xfId="0" applyNumberFormat="1" applyFont="1" applyFill="1"/>
    <xf numFmtId="2" fontId="0" fillId="0" borderId="0" xfId="0" applyNumberFormat="1"/>
    <xf numFmtId="1" fontId="0" fillId="0" borderId="3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1" fontId="0" fillId="0" borderId="7" xfId="0" applyNumberFormat="1" applyBorder="1"/>
    <xf numFmtId="0" fontId="0" fillId="0" borderId="19" xfId="0" applyBorder="1"/>
    <xf numFmtId="1" fontId="0" fillId="0" borderId="4" xfId="0" applyNumberFormat="1" applyBorder="1"/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0" fontId="2" fillId="0" borderId="14" xfId="0" applyFont="1" applyBorder="1"/>
    <xf numFmtId="1" fontId="0" fillId="0" borderId="20" xfId="0" applyNumberFormat="1" applyBorder="1"/>
    <xf numFmtId="1" fontId="0" fillId="0" borderId="12" xfId="0" applyNumberFormat="1" applyBorder="1"/>
    <xf numFmtId="1" fontId="0" fillId="0" borderId="14" xfId="0" applyNumberFormat="1" applyBorder="1"/>
    <xf numFmtId="14" fontId="0" fillId="0" borderId="0" xfId="0" applyNumberFormat="1"/>
    <xf numFmtId="3" fontId="0" fillId="4" borderId="0" xfId="0" applyNumberFormat="1" applyFill="1"/>
    <xf numFmtId="165" fontId="0" fillId="0" borderId="0" xfId="0" applyNumberFormat="1"/>
    <xf numFmtId="165" fontId="0" fillId="0" borderId="0" xfId="1" applyNumberFormat="1" applyFont="1"/>
    <xf numFmtId="0" fontId="19" fillId="0" borderId="0" xfId="0" quotePrefix="1" applyFont="1"/>
    <xf numFmtId="0" fontId="19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3" fontId="0" fillId="0" borderId="0" xfId="0" applyNumberFormat="1" applyFill="1"/>
    <xf numFmtId="168" fontId="12" fillId="0" borderId="0" xfId="0" applyNumberFormat="1" applyFont="1" applyBorder="1"/>
    <xf numFmtId="0" fontId="0" fillId="0" borderId="0" xfId="0" applyBorder="1" applyAlignment="1">
      <alignment wrapText="1"/>
    </xf>
    <xf numFmtId="0" fontId="2" fillId="0" borderId="0" xfId="0" applyFont="1" applyBorder="1"/>
    <xf numFmtId="165" fontId="18" fillId="0" borderId="0" xfId="2" applyNumberFormat="1" applyFont="1"/>
    <xf numFmtId="0" fontId="0" fillId="0" borderId="21" xfId="0" applyBorder="1"/>
    <xf numFmtId="1" fontId="0" fillId="0" borderId="17" xfId="0" applyNumberFormat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166" fontId="0" fillId="0" borderId="0" xfId="0" applyNumberFormat="1"/>
    <xf numFmtId="168" fontId="0" fillId="0" borderId="0" xfId="0" applyNumberFormat="1"/>
    <xf numFmtId="0" fontId="11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11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2" fontId="15" fillId="0" borderId="1" xfId="3" applyNumberFormat="1" applyFont="1" applyBorder="1" applyAlignment="1">
      <alignment horizontal="center" vertical="center"/>
    </xf>
    <xf numFmtId="2" fontId="15" fillId="0" borderId="16" xfId="3" applyNumberFormat="1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2" fontId="15" fillId="0" borderId="18" xfId="3" applyNumberFormat="1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wrapText="1"/>
    </xf>
    <xf numFmtId="0" fontId="16" fillId="0" borderId="11" xfId="3" applyFont="1" applyBorder="1" applyAlignment="1">
      <alignment horizontal="center" wrapText="1"/>
    </xf>
    <xf numFmtId="0" fontId="16" fillId="0" borderId="9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wrapText="1"/>
    </xf>
    <xf numFmtId="0" fontId="16" fillId="0" borderId="7" xfId="3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0" fontId="15" fillId="0" borderId="8" xfId="3" applyFont="1" applyBorder="1" applyAlignment="1">
      <alignment horizontal="center" vertical="center"/>
    </xf>
    <xf numFmtId="168" fontId="14" fillId="0" borderId="0" xfId="0" applyNumberFormat="1" applyFont="1" applyFill="1"/>
  </cellXfs>
  <cellStyles count="4">
    <cellStyle name="Обычный" xfId="0" builtinId="0"/>
    <cellStyle name="Обычный 2" xfId="3"/>
    <cellStyle name="Процентный" xfId="1" builtinId="5"/>
    <cellStyle name="Финансовый" xfId="2" builtinId="3"/>
  </cellStyles>
  <dxfs count="16"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Well cost,  USD x 1000</a:t>
            </a:r>
            <a:endParaRPr lang="ru-RU"/>
          </a:p>
        </c:rich>
      </c:tx>
      <c:layout>
        <c:manualLayout>
          <c:xMode val="edge"/>
          <c:yMode val="edge"/>
          <c:x val="0.34955481572493718"/>
          <c:y val="6.67625940881920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288758710840194E-2"/>
          <c:y val="0.16406250385026649"/>
          <c:w val="0.89541056369857064"/>
          <c:h val="0.81175626199126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'Chart DC data'!$K$3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xVal>
            <c:numRef>
              <c:f>'Chart DC data'!$K$4:$K$8</c:f>
              <c:numCache>
                <c:formatCode>0</c:formatCode>
                <c:ptCount val="5"/>
                <c:pt idx="0">
                  <c:v>146</c:v>
                </c:pt>
                <c:pt idx="1">
                  <c:v>547.5</c:v>
                </c:pt>
                <c:pt idx="2">
                  <c:v>1715.5</c:v>
                </c:pt>
                <c:pt idx="3">
                  <c:v>3285</c:v>
                </c:pt>
                <c:pt idx="4">
                  <c:v>5292.5</c:v>
                </c:pt>
              </c:numCache>
            </c:numRef>
          </c:xVal>
          <c:yVal>
            <c:numRef>
              <c:f>'Chart DC data'!$J$4:$J$8</c:f>
              <c:numCache>
                <c:formatCode>General</c:formatCode>
                <c:ptCount val="5"/>
                <c:pt idx="0">
                  <c:v>20</c:v>
                </c:pt>
                <c:pt idx="1">
                  <c:v>200</c:v>
                </c:pt>
                <c:pt idx="2">
                  <c:v>2500</c:v>
                </c:pt>
                <c:pt idx="3">
                  <c:v>4950</c:v>
                </c:pt>
                <c:pt idx="4">
                  <c:v>5500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3A-4A9F-9EB4-84E1803AE2AD}"/>
            </c:ext>
          </c:extLst>
        </c:ser>
        <c:ser>
          <c:idx val="1"/>
          <c:order val="1"/>
          <c:tx>
            <c:strRef>
              <c:f>'Chart DC data'!$L$3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numRef>
              <c:f>'Chart DC data'!$L$4:$L$8</c:f>
              <c:numCache>
                <c:formatCode>0</c:formatCode>
                <c:ptCount val="5"/>
                <c:pt idx="0">
                  <c:v>146</c:v>
                </c:pt>
                <c:pt idx="1">
                  <c:v>547.5</c:v>
                </c:pt>
                <c:pt idx="2">
                  <c:v>1715.5</c:v>
                </c:pt>
                <c:pt idx="3">
                  <c:v>3285</c:v>
                </c:pt>
                <c:pt idx="4">
                  <c:v>5292.5</c:v>
                </c:pt>
              </c:numCache>
            </c:numRef>
          </c:xVal>
          <c:yVal>
            <c:numRef>
              <c:f>'Chart DC data'!$J$4:$J$8</c:f>
              <c:numCache>
                <c:formatCode>General</c:formatCode>
                <c:ptCount val="5"/>
                <c:pt idx="0">
                  <c:v>20</c:v>
                </c:pt>
                <c:pt idx="1">
                  <c:v>200</c:v>
                </c:pt>
                <c:pt idx="2">
                  <c:v>2500</c:v>
                </c:pt>
                <c:pt idx="3">
                  <c:v>4950</c:v>
                </c:pt>
                <c:pt idx="4">
                  <c:v>5500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3A-4A9F-9EB4-84E1803A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284848"/>
        <c:axId val="-2076283216"/>
      </c:scatterChart>
      <c:valAx>
        <c:axId val="-2076284848"/>
        <c:scaling>
          <c:orientation val="minMax"/>
        </c:scaling>
        <c:delete val="0"/>
        <c:axPos val="t"/>
        <c:majorGridlines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050" b="1"/>
            </a:pPr>
            <a:endParaRPr lang="ru-RU"/>
          </a:p>
        </c:txPr>
        <c:crossAx val="-2076283216"/>
        <c:crosses val="autoZero"/>
        <c:crossBetween val="midCat"/>
      </c:valAx>
      <c:valAx>
        <c:axId val="-2076283216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Depth, m</a:t>
                </a:r>
                <a:endParaRPr lang="ru-RU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-2076284848"/>
        <c:crosses val="autoZero"/>
        <c:crossBetween val="midCat"/>
        <c:majorUnit val="500"/>
      </c:valAx>
    </c:plotArea>
    <c:legend>
      <c:legendPos val="t"/>
      <c:layout>
        <c:manualLayout>
          <c:xMode val="edge"/>
          <c:yMode val="edge"/>
          <c:x val="0.74730873757044458"/>
          <c:y val="0.17107908929805893"/>
          <c:w val="0.22512502169425447"/>
          <c:h val="4.7816572401191276E-2"/>
        </c:manualLayout>
      </c:layout>
      <c:overlay val="0"/>
      <c:txPr>
        <a:bodyPr/>
        <a:lstStyle/>
        <a:p>
          <a:pPr>
            <a:defRPr sz="1400" b="1"/>
          </a:pPr>
          <a:endParaRPr lang="ru-RU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Drilling</a:t>
            </a:r>
            <a:r>
              <a:rPr lang="en-US" baseline="0"/>
              <a:t> Rig cost,  USD x 1000</a:t>
            </a:r>
            <a:endParaRPr lang="ru-RU"/>
          </a:p>
        </c:rich>
      </c:tx>
      <c:layout>
        <c:manualLayout>
          <c:xMode val="edge"/>
          <c:yMode val="edge"/>
          <c:x val="0.34955481572493718"/>
          <c:y val="6.67625940881920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288758710840194E-2"/>
          <c:y val="0.16406250385026649"/>
          <c:w val="0.89541056369857064"/>
          <c:h val="0.81175626199126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'Chart DC data'!$K$3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xVal>
            <c:numRef>
              <c:f>'Chart DC data'!$K$4:$K$8</c:f>
              <c:numCache>
                <c:formatCode>0</c:formatCode>
                <c:ptCount val="5"/>
                <c:pt idx="0">
                  <c:v>146</c:v>
                </c:pt>
                <c:pt idx="1">
                  <c:v>547.5</c:v>
                </c:pt>
                <c:pt idx="2">
                  <c:v>1715.5</c:v>
                </c:pt>
                <c:pt idx="3">
                  <c:v>3285</c:v>
                </c:pt>
                <c:pt idx="4">
                  <c:v>5292.5</c:v>
                </c:pt>
              </c:numCache>
            </c:numRef>
          </c:xVal>
          <c:yVal>
            <c:numRef>
              <c:f>'Chart DC data'!$J$4:$J$8</c:f>
              <c:numCache>
                <c:formatCode>General</c:formatCode>
                <c:ptCount val="5"/>
                <c:pt idx="0">
                  <c:v>20</c:v>
                </c:pt>
                <c:pt idx="1">
                  <c:v>200</c:v>
                </c:pt>
                <c:pt idx="2">
                  <c:v>2500</c:v>
                </c:pt>
                <c:pt idx="3">
                  <c:v>4950</c:v>
                </c:pt>
                <c:pt idx="4">
                  <c:v>5500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D-49C5-9F92-961C0C652287}"/>
            </c:ext>
          </c:extLst>
        </c:ser>
        <c:ser>
          <c:idx val="1"/>
          <c:order val="1"/>
          <c:tx>
            <c:strRef>
              <c:f>'Chart DC data'!$L$3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numRef>
              <c:f>'Chart DC data'!$L$4:$L$8</c:f>
              <c:numCache>
                <c:formatCode>0</c:formatCode>
                <c:ptCount val="5"/>
                <c:pt idx="0">
                  <c:v>146</c:v>
                </c:pt>
                <c:pt idx="1">
                  <c:v>547.5</c:v>
                </c:pt>
                <c:pt idx="2">
                  <c:v>1715.5</c:v>
                </c:pt>
                <c:pt idx="3">
                  <c:v>3285</c:v>
                </c:pt>
                <c:pt idx="4">
                  <c:v>5292.5</c:v>
                </c:pt>
              </c:numCache>
            </c:numRef>
          </c:xVal>
          <c:yVal>
            <c:numRef>
              <c:f>'Chart DC data'!$J$4:$J$8</c:f>
              <c:numCache>
                <c:formatCode>General</c:formatCode>
                <c:ptCount val="5"/>
                <c:pt idx="0">
                  <c:v>20</c:v>
                </c:pt>
                <c:pt idx="1">
                  <c:v>200</c:v>
                </c:pt>
                <c:pt idx="2">
                  <c:v>2500</c:v>
                </c:pt>
                <c:pt idx="3">
                  <c:v>4950</c:v>
                </c:pt>
                <c:pt idx="4">
                  <c:v>5500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D-49C5-9F92-961C0C65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293552"/>
        <c:axId val="-2076291920"/>
      </c:scatterChart>
      <c:valAx>
        <c:axId val="-2076293552"/>
        <c:scaling>
          <c:orientation val="minMax"/>
        </c:scaling>
        <c:delete val="0"/>
        <c:axPos val="t"/>
        <c:majorGridlines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050" b="1"/>
            </a:pPr>
            <a:endParaRPr lang="ru-RU"/>
          </a:p>
        </c:txPr>
        <c:crossAx val="-2076291920"/>
        <c:crosses val="autoZero"/>
        <c:crossBetween val="midCat"/>
      </c:valAx>
      <c:valAx>
        <c:axId val="-2076291920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Depth, m</a:t>
                </a:r>
                <a:endParaRPr lang="ru-RU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-2076293552"/>
        <c:crosses val="autoZero"/>
        <c:crossBetween val="midCat"/>
        <c:majorUnit val="500"/>
      </c:valAx>
    </c:plotArea>
    <c:legend>
      <c:legendPos val="t"/>
      <c:layout>
        <c:manualLayout>
          <c:xMode val="edge"/>
          <c:yMode val="edge"/>
          <c:x val="0.74730873757044458"/>
          <c:y val="0.17107908929805893"/>
          <c:w val="0.22512502169425447"/>
          <c:h val="4.7816572401191276E-2"/>
        </c:manualLayout>
      </c:layout>
      <c:overlay val="0"/>
      <c:txPr>
        <a:bodyPr/>
        <a:lstStyle/>
        <a:p>
          <a:pPr>
            <a:defRPr sz="1400" b="1"/>
          </a:pPr>
          <a:endParaRPr lang="ru-RU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2004 Drilling Campaign</a:t>
            </a:r>
          </a:p>
        </c:rich>
      </c:tx>
      <c:layout>
        <c:manualLayout>
          <c:xMode val="edge"/>
          <c:yMode val="edge"/>
          <c:x val="0.40537745604963804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421923474664E-2"/>
          <c:y val="0.14861111580428549"/>
          <c:w val="0.87860334993103517"/>
          <c:h val="0.8141008528989797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'Chart data'!$B$3:$B$147</c:f>
              <c:numCache>
                <c:formatCode>General</c:formatCode>
                <c:ptCount val="14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56</c:v>
                </c:pt>
                <c:pt idx="5">
                  <c:v>92</c:v>
                </c:pt>
                <c:pt idx="6">
                  <c:v>128</c:v>
                </c:pt>
                <c:pt idx="7">
                  <c:v>164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292</c:v>
                </c:pt>
                <c:pt idx="16">
                  <c:v>384</c:v>
                </c:pt>
                <c:pt idx="17">
                  <c:v>476</c:v>
                </c:pt>
                <c:pt idx="18">
                  <c:v>568</c:v>
                </c:pt>
                <c:pt idx="19">
                  <c:v>660</c:v>
                </c:pt>
                <c:pt idx="20">
                  <c:v>752</c:v>
                </c:pt>
                <c:pt idx="21">
                  <c:v>844</c:v>
                </c:pt>
                <c:pt idx="22">
                  <c:v>936</c:v>
                </c:pt>
                <c:pt idx="23">
                  <c:v>1028</c:v>
                </c:pt>
                <c:pt idx="24">
                  <c:v>1120</c:v>
                </c:pt>
                <c:pt idx="25">
                  <c:v>1212</c:v>
                </c:pt>
                <c:pt idx="26">
                  <c:v>1304</c:v>
                </c:pt>
                <c:pt idx="27">
                  <c:v>1396</c:v>
                </c:pt>
                <c:pt idx="28">
                  <c:v>1488</c:v>
                </c:pt>
                <c:pt idx="29">
                  <c:v>1580</c:v>
                </c:pt>
                <c:pt idx="30">
                  <c:v>1672</c:v>
                </c:pt>
                <c:pt idx="31">
                  <c:v>1764</c:v>
                </c:pt>
                <c:pt idx="32">
                  <c:v>1856</c:v>
                </c:pt>
                <c:pt idx="33">
                  <c:v>1948</c:v>
                </c:pt>
                <c:pt idx="34">
                  <c:v>2040</c:v>
                </c:pt>
                <c:pt idx="35">
                  <c:v>2132</c:v>
                </c:pt>
                <c:pt idx="36">
                  <c:v>2224</c:v>
                </c:pt>
                <c:pt idx="37">
                  <c:v>2316</c:v>
                </c:pt>
                <c:pt idx="38">
                  <c:v>2408</c:v>
                </c:pt>
                <c:pt idx="39">
                  <c:v>2500</c:v>
                </c:pt>
                <c:pt idx="40">
                  <c:v>2500</c:v>
                </c:pt>
                <c:pt idx="41">
                  <c:v>2500</c:v>
                </c:pt>
                <c:pt idx="42">
                  <c:v>2500</c:v>
                </c:pt>
                <c:pt idx="43">
                  <c:v>2500</c:v>
                </c:pt>
                <c:pt idx="44">
                  <c:v>2500</c:v>
                </c:pt>
                <c:pt idx="45">
                  <c:v>2500</c:v>
                </c:pt>
                <c:pt idx="46">
                  <c:v>2500</c:v>
                </c:pt>
                <c:pt idx="47">
                  <c:v>2570</c:v>
                </c:pt>
                <c:pt idx="48">
                  <c:v>2640</c:v>
                </c:pt>
                <c:pt idx="49">
                  <c:v>2710</c:v>
                </c:pt>
                <c:pt idx="50">
                  <c:v>2780</c:v>
                </c:pt>
                <c:pt idx="51">
                  <c:v>2850</c:v>
                </c:pt>
                <c:pt idx="52">
                  <c:v>2920</c:v>
                </c:pt>
                <c:pt idx="53">
                  <c:v>2990</c:v>
                </c:pt>
                <c:pt idx="54">
                  <c:v>3060</c:v>
                </c:pt>
                <c:pt idx="55">
                  <c:v>3130</c:v>
                </c:pt>
                <c:pt idx="56">
                  <c:v>3200</c:v>
                </c:pt>
                <c:pt idx="57">
                  <c:v>3270</c:v>
                </c:pt>
                <c:pt idx="58">
                  <c:v>3340</c:v>
                </c:pt>
                <c:pt idx="59">
                  <c:v>3410</c:v>
                </c:pt>
                <c:pt idx="60">
                  <c:v>3480</c:v>
                </c:pt>
                <c:pt idx="61">
                  <c:v>3550</c:v>
                </c:pt>
                <c:pt idx="62">
                  <c:v>3620</c:v>
                </c:pt>
                <c:pt idx="63">
                  <c:v>3690</c:v>
                </c:pt>
                <c:pt idx="64">
                  <c:v>3760</c:v>
                </c:pt>
                <c:pt idx="65">
                  <c:v>3830</c:v>
                </c:pt>
                <c:pt idx="66">
                  <c:v>3900</c:v>
                </c:pt>
                <c:pt idx="67">
                  <c:v>3970</c:v>
                </c:pt>
                <c:pt idx="68">
                  <c:v>4040</c:v>
                </c:pt>
                <c:pt idx="69">
                  <c:v>4110</c:v>
                </c:pt>
                <c:pt idx="70">
                  <c:v>4180</c:v>
                </c:pt>
                <c:pt idx="71">
                  <c:v>4250</c:v>
                </c:pt>
                <c:pt idx="72">
                  <c:v>4320</c:v>
                </c:pt>
                <c:pt idx="73">
                  <c:v>4390</c:v>
                </c:pt>
                <c:pt idx="74">
                  <c:v>4460</c:v>
                </c:pt>
                <c:pt idx="75">
                  <c:v>4530</c:v>
                </c:pt>
                <c:pt idx="76">
                  <c:v>4600</c:v>
                </c:pt>
                <c:pt idx="77">
                  <c:v>4670</c:v>
                </c:pt>
                <c:pt idx="78">
                  <c:v>4740</c:v>
                </c:pt>
                <c:pt idx="79">
                  <c:v>4810</c:v>
                </c:pt>
                <c:pt idx="80">
                  <c:v>4880</c:v>
                </c:pt>
                <c:pt idx="81">
                  <c:v>4950</c:v>
                </c:pt>
                <c:pt idx="82">
                  <c:v>4950</c:v>
                </c:pt>
                <c:pt idx="83">
                  <c:v>4950</c:v>
                </c:pt>
                <c:pt idx="84">
                  <c:v>4950</c:v>
                </c:pt>
                <c:pt idx="85">
                  <c:v>4950</c:v>
                </c:pt>
                <c:pt idx="86">
                  <c:v>4950</c:v>
                </c:pt>
                <c:pt idx="87">
                  <c:v>4950</c:v>
                </c:pt>
                <c:pt idx="88">
                  <c:v>4950</c:v>
                </c:pt>
                <c:pt idx="89">
                  <c:v>4950</c:v>
                </c:pt>
                <c:pt idx="90">
                  <c:v>4965</c:v>
                </c:pt>
                <c:pt idx="91">
                  <c:v>4980</c:v>
                </c:pt>
                <c:pt idx="92">
                  <c:v>4995</c:v>
                </c:pt>
                <c:pt idx="93">
                  <c:v>5010</c:v>
                </c:pt>
                <c:pt idx="94">
                  <c:v>5025</c:v>
                </c:pt>
                <c:pt idx="95">
                  <c:v>5040</c:v>
                </c:pt>
                <c:pt idx="96">
                  <c:v>5055</c:v>
                </c:pt>
                <c:pt idx="97">
                  <c:v>5070</c:v>
                </c:pt>
                <c:pt idx="98">
                  <c:v>5085</c:v>
                </c:pt>
                <c:pt idx="99">
                  <c:v>5100</c:v>
                </c:pt>
                <c:pt idx="100">
                  <c:v>5115</c:v>
                </c:pt>
                <c:pt idx="101">
                  <c:v>5130</c:v>
                </c:pt>
                <c:pt idx="102">
                  <c:v>5145</c:v>
                </c:pt>
                <c:pt idx="103">
                  <c:v>5160</c:v>
                </c:pt>
                <c:pt idx="104">
                  <c:v>5175</c:v>
                </c:pt>
                <c:pt idx="105">
                  <c:v>5190</c:v>
                </c:pt>
                <c:pt idx="106">
                  <c:v>5205</c:v>
                </c:pt>
                <c:pt idx="107">
                  <c:v>5220</c:v>
                </c:pt>
                <c:pt idx="108">
                  <c:v>5235</c:v>
                </c:pt>
                <c:pt idx="109">
                  <c:v>5250</c:v>
                </c:pt>
                <c:pt idx="110">
                  <c:v>5265</c:v>
                </c:pt>
                <c:pt idx="111">
                  <c:v>5280</c:v>
                </c:pt>
                <c:pt idx="112">
                  <c:v>5295</c:v>
                </c:pt>
                <c:pt idx="113">
                  <c:v>5310</c:v>
                </c:pt>
                <c:pt idx="114">
                  <c:v>5325</c:v>
                </c:pt>
                <c:pt idx="115">
                  <c:v>5340</c:v>
                </c:pt>
                <c:pt idx="116">
                  <c:v>5355</c:v>
                </c:pt>
                <c:pt idx="117">
                  <c:v>5370</c:v>
                </c:pt>
                <c:pt idx="118">
                  <c:v>5385</c:v>
                </c:pt>
                <c:pt idx="119">
                  <c:v>5400</c:v>
                </c:pt>
                <c:pt idx="120">
                  <c:v>5415</c:v>
                </c:pt>
                <c:pt idx="121">
                  <c:v>5430</c:v>
                </c:pt>
                <c:pt idx="122">
                  <c:v>5445</c:v>
                </c:pt>
                <c:pt idx="123">
                  <c:v>5460</c:v>
                </c:pt>
                <c:pt idx="124">
                  <c:v>5475</c:v>
                </c:pt>
                <c:pt idx="125">
                  <c:v>5490</c:v>
                </c:pt>
                <c:pt idx="126">
                  <c:v>5505</c:v>
                </c:pt>
                <c:pt idx="127">
                  <c:v>5520</c:v>
                </c:pt>
                <c:pt idx="128">
                  <c:v>5535</c:v>
                </c:pt>
                <c:pt idx="129">
                  <c:v>5550</c:v>
                </c:pt>
                <c:pt idx="130">
                  <c:v>5550</c:v>
                </c:pt>
                <c:pt idx="131">
                  <c:v>5550</c:v>
                </c:pt>
                <c:pt idx="132">
                  <c:v>5550</c:v>
                </c:pt>
                <c:pt idx="133">
                  <c:v>5550</c:v>
                </c:pt>
                <c:pt idx="134">
                  <c:v>5550</c:v>
                </c:pt>
                <c:pt idx="135">
                  <c:v>5550</c:v>
                </c:pt>
                <c:pt idx="136">
                  <c:v>5550</c:v>
                </c:pt>
                <c:pt idx="137">
                  <c:v>5550</c:v>
                </c:pt>
                <c:pt idx="138">
                  <c:v>5550</c:v>
                </c:pt>
                <c:pt idx="139">
                  <c:v>5550</c:v>
                </c:pt>
                <c:pt idx="140">
                  <c:v>5550</c:v>
                </c:pt>
                <c:pt idx="141">
                  <c:v>5550</c:v>
                </c:pt>
                <c:pt idx="142">
                  <c:v>5550</c:v>
                </c:pt>
                <c:pt idx="143">
                  <c:v>5550</c:v>
                </c:pt>
                <c:pt idx="144">
                  <c:v>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6-4FAE-AEF0-5946D2B3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6288656"/>
        <c:axId val="-2076295728"/>
      </c:lineChart>
      <c:dateAx>
        <c:axId val="-207628865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629572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-2076295728"/>
        <c:scaling>
          <c:orientation val="maxMin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6288656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00000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Well Time Usage</a:t>
            </a:r>
          </a:p>
        </c:rich>
      </c:tx>
      <c:layout>
        <c:manualLayout>
          <c:xMode val="edge"/>
          <c:yMode val="edge"/>
          <c:x val="0.42580995506818592"/>
          <c:y val="5.87275693311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08572524825224E-2"/>
          <c:y val="0.12886902318332866"/>
          <c:w val="0.89347149551086402"/>
          <c:h val="0.77980354343105307"/>
        </c:manualLayout>
      </c:layout>
      <c:barChart>
        <c:barDir val="bar"/>
        <c:grouping val="stacked"/>
        <c:varyColors val="0"/>
        <c:ser>
          <c:idx val="8"/>
          <c:order val="0"/>
          <c:tx>
            <c:strRef>
              <c:f>'Data base'!$A$16</c:f>
              <c:strCache>
                <c:ptCount val="1"/>
                <c:pt idx="0">
                  <c:v>Drilling time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[h]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base'!$B$3:$B$3</c:f>
              <c:strCache>
                <c:ptCount val="1"/>
                <c:pt idx="0">
                  <c:v>Well#</c:v>
                </c:pt>
              </c:strCache>
            </c:strRef>
          </c:cat>
          <c:val>
            <c:numRef>
              <c:f>'Data base'!$B$16:$B$16</c:f>
              <c:numCache>
                <c:formatCode>[hh]:mm</c:formatCode>
                <c:ptCount val="1"/>
                <c:pt idx="0">
                  <c:v>105.10416666666667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4-4A05-A394-E219B9A9CB73}"/>
            </c:ext>
          </c:extLst>
        </c:ser>
        <c:ser>
          <c:idx val="9"/>
          <c:order val="1"/>
          <c:tx>
            <c:strRef>
              <c:f>'Data base'!$A$17</c:f>
              <c:strCache>
                <c:ptCount val="1"/>
                <c:pt idx="0">
                  <c:v>Non Drilling time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[h]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base'!$B$3:$B$3</c:f>
              <c:strCache>
                <c:ptCount val="1"/>
                <c:pt idx="0">
                  <c:v>Well#</c:v>
                </c:pt>
              </c:strCache>
            </c:strRef>
          </c:cat>
          <c:val>
            <c:numRef>
              <c:f>'Data base'!$B$17:$B$17</c:f>
              <c:numCache>
                <c:formatCode>[h]:mm</c:formatCode>
                <c:ptCount val="1"/>
                <c:pt idx="0">
                  <c:v>39.937500000000014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4-4A05-A394-E219B9A9C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-2076291376"/>
        <c:axId val="-2076286480"/>
      </c:barChart>
      <c:catAx>
        <c:axId val="-207629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</a:t>
                </a:r>
              </a:p>
            </c:rich>
          </c:tx>
          <c:layout>
            <c:manualLayout>
              <c:xMode val="edge"/>
              <c:yMode val="edge"/>
              <c:x val="0.52586518566587037"/>
              <c:y val="0.9538253186501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628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628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h]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62913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43634659683113"/>
          <c:y val="7.8699738389145069E-2"/>
          <c:w val="0.31492575195607264"/>
          <c:h val="4.783253111939312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Drilling Performance Analysis</a:t>
            </a:r>
          </a:p>
        </c:rich>
      </c:tx>
      <c:layout>
        <c:manualLayout>
          <c:xMode val="edge"/>
          <c:yMode val="edge"/>
          <c:x val="0.39089665992365086"/>
          <c:y val="7.0495725651848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20579110651496E-2"/>
          <c:y val="0.16734875225236343"/>
          <c:w val="0.92244053774560497"/>
          <c:h val="0.688583417668402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base'!$A$21</c:f>
              <c:strCache>
                <c:ptCount val="1"/>
                <c:pt idx="0">
                  <c:v>Days to TD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base'!$B$3:$B$3</c:f>
              <c:strCache>
                <c:ptCount val="1"/>
                <c:pt idx="0">
                  <c:v>Well#</c:v>
                </c:pt>
              </c:strCache>
            </c:strRef>
          </c:cat>
          <c:val>
            <c:numRef>
              <c:f>'Data base'!$B$21:$B$21</c:f>
              <c:numCache>
                <c:formatCode>0.00</c:formatCode>
                <c:ptCount val="1"/>
                <c:pt idx="0">
                  <c:v>130.04166666666669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676-99A0-4AC36E9827AA}"/>
            </c:ext>
          </c:extLst>
        </c:ser>
        <c:ser>
          <c:idx val="0"/>
          <c:order val="1"/>
          <c:tx>
            <c:strRef>
              <c:f>'Data base'!$A$20</c:f>
              <c:strCache>
                <c:ptCount val="1"/>
                <c:pt idx="0">
                  <c:v>Days TD to Release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base'!$B$3:$B$3</c:f>
              <c:strCache>
                <c:ptCount val="1"/>
                <c:pt idx="0">
                  <c:v>Well#</c:v>
                </c:pt>
              </c:strCache>
            </c:strRef>
          </c:cat>
          <c:val>
            <c:numRef>
              <c:f>'Data base'!$B$20:$B$20</c:f>
              <c:numCache>
                <c:formatCode>0.00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676-99A0-4AC36E98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6283760"/>
        <c:axId val="-121650208"/>
      </c:barChart>
      <c:catAx>
        <c:axId val="-20762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2165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650208"/>
        <c:scaling>
          <c:orientation val="minMax"/>
          <c:min val="0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50"/>
                  <a:t>Days</a:t>
                </a:r>
              </a:p>
            </c:rich>
          </c:tx>
          <c:layout>
            <c:manualLayout>
              <c:xMode val="edge"/>
              <c:yMode val="edge"/>
              <c:x val="2.0552604926431278E-2"/>
              <c:y val="0.520177720731617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628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858128020589036"/>
          <c:y val="0.11742436584141716"/>
          <c:w val="0.44945414088331642"/>
          <c:h val="4.788859547261597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>
                <a:effectLst/>
              </a:rPr>
              <a:t>Actual Drilling Costs</a:t>
            </a:r>
            <a:endParaRPr lang="ru-RU" sz="1100"/>
          </a:p>
        </c:rich>
      </c:tx>
      <c:layout>
        <c:manualLayout>
          <c:xMode val="edge"/>
          <c:yMode val="edge"/>
          <c:x val="0.41532072673340742"/>
          <c:y val="6.5252854812398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59379771633108"/>
          <c:y val="0.14279499728113107"/>
          <c:w val="0.83609177885022434"/>
          <c:h val="0.75813695392480507"/>
        </c:manualLayout>
      </c:layout>
      <c:areaChart>
        <c:grouping val="stacked"/>
        <c:varyColors val="0"/>
        <c:ser>
          <c:idx val="1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'Cost data'!$A$32:$A$33</c:f>
              <c:strCache>
                <c:ptCount val="2"/>
                <c:pt idx="0">
                  <c:v>AFE Est cost</c:v>
                </c:pt>
                <c:pt idx="1">
                  <c:v>Act Cost</c:v>
                </c:pt>
              </c:strCache>
            </c:strRef>
          </c:cat>
          <c:val>
            <c:numRef>
              <c:f>'Cost data'!$B$32:$B$33</c:f>
              <c:numCache>
                <c:formatCode>_-* #\ ##0_-;\-* #\ ##0_-;_-* "-"??_-;_-@_-</c:formatCode>
                <c:ptCount val="2"/>
                <c:pt idx="0">
                  <c:v>26092500</c:v>
                </c:pt>
                <c:pt idx="1">
                  <c:v>26092500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2-43CA-AFDA-1F8663692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61088"/>
        <c:axId val="-2140907008"/>
      </c:areaChart>
      <c:catAx>
        <c:axId val="-12166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140907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14090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1"/>
                </a:pPr>
                <a:r>
                  <a:rPr lang="en-US" sz="1100" b="1"/>
                  <a:t>Cost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21661088"/>
        <c:crosses val="autoZero"/>
        <c:crossBetween val="midCat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94-4677-A245-984847A34C8F}"/>
            </c:ext>
          </c:extLst>
        </c:ser>
        <c:ser>
          <c:idx val="2"/>
          <c:order val="1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94-4677-A245-984847A34C8F}"/>
            </c:ext>
          </c:extLst>
        </c:ser>
        <c:ser>
          <c:idx val="3"/>
          <c:order val="2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94-4677-A245-984847A34C8F}"/>
            </c:ext>
          </c:extLst>
        </c:ser>
        <c:ser>
          <c:idx val="4"/>
          <c:order val="3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394-4677-A245-984847A34C8F}"/>
            </c:ext>
          </c:extLst>
        </c:ser>
        <c:ser>
          <c:idx val="5"/>
          <c:order val="4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94-4677-A245-984847A34C8F}"/>
            </c:ext>
          </c:extLst>
        </c:ser>
        <c:ser>
          <c:idx val="1"/>
          <c:order val="5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'Cost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94-4677-A245-984847A3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2073554848"/>
        <c:axId val="-2073553760"/>
      </c:barChart>
      <c:catAx>
        <c:axId val="-2073554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3553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073553760"/>
        <c:scaling>
          <c:orientation val="minMax"/>
          <c:max val="250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20735548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0.53" l="0.75" r="0.75" t="0.56000000000000005" header="0.5" footer="0.5"/>
    <c:pageSetup paperSize="9" orientation="landscape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tabSelected="1"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2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Диаграмма1">
    <tabColor rgb="FF0070C0"/>
  </sheetPr>
  <sheetViews>
    <sheetView zoomScale="124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3"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">
    <tabColor rgb="FF0070C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8"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0.00836</cdr:y>
    </cdr:from>
    <cdr:to>
      <cdr:x>0.00546</cdr:x>
      <cdr:y>0.00836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E21A8633-59C1-4531-B7B7-A915FC70CC6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2y1Gvo5VeGQN7Pqr6gOTkQ</a:t>
          </a:r>
          <a:endParaRPr lang="ru-RU" sz="1100"/>
        </a:p>
      </cdr:txBody>
    </cdr:sp>
  </cdr:relSizeAnchor>
  <cdr:relSizeAnchor xmlns:cdr="http://schemas.openxmlformats.org/drawingml/2006/chartDrawing">
    <cdr:from>
      <cdr:x>0.07506</cdr:x>
      <cdr:y>0.80617</cdr:y>
    </cdr:from>
    <cdr:to>
      <cdr:x>0.11624</cdr:x>
      <cdr:y>0.84761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D2D1482-3F54-4557-9019-09E804E51097}"/>
            </a:ext>
          </a:extLst>
        </cdr:cNvPr>
        <cdr:cNvSpPr txBox="1"/>
      </cdr:nvSpPr>
      <cdr:spPr>
        <a:xfrm xmlns:a="http://schemas.openxmlformats.org/drawingml/2006/main">
          <a:off x="698500" y="4899025"/>
          <a:ext cx="383223" cy="251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YK</a:t>
          </a:r>
          <a:endParaRPr lang="ru-RU" sz="14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0.00592</cdr:x>
      <cdr:y>0.0087</cdr:y>
    </cdr:from>
    <cdr:to>
      <cdr:x>0.00592</cdr:x>
      <cdr:y>0.0087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1C7FFE72-C0D1-4CDB-AEC8-2EBDEBCD232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VAvqKvefNxgciyRG8HzWK5</a:t>
          </a:r>
          <a:endParaRPr lang="ru-RU" sz="1100"/>
        </a:p>
      </cdr:txBody>
    </cdr:sp>
  </cdr:relSizeAnchor>
  <cdr:relSizeAnchor xmlns:cdr="http://schemas.openxmlformats.org/drawingml/2006/chartDrawing">
    <cdr:from>
      <cdr:x>0.15276</cdr:x>
      <cdr:y>0.85046</cdr:y>
    </cdr:from>
    <cdr:to>
      <cdr:x>0.19752</cdr:x>
      <cdr:y>0.89359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73313C2-9BE2-4BF3-818E-F1580929E9DB}"/>
            </a:ext>
          </a:extLst>
        </cdr:cNvPr>
        <cdr:cNvSpPr txBox="1"/>
      </cdr:nvSpPr>
      <cdr:spPr>
        <a:xfrm xmlns:a="http://schemas.openxmlformats.org/drawingml/2006/main">
          <a:off x="1308100" y="4965700"/>
          <a:ext cx="383223" cy="251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YK</a:t>
          </a:r>
          <a:endParaRPr lang="ru-RU" sz="14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0</xdr:rowOff>
    </xdr:to>
    <xdr:graphicFrame macro="">
      <xdr:nvGraphicFramePr>
        <xdr:cNvPr id="56321" name="Chart 1">
          <a:extLst>
            <a:ext uri="{FF2B5EF4-FFF2-40B4-BE49-F238E27FC236}">
              <a16:creationId xmlns:a16="http://schemas.microsoft.com/office/drawing/2014/main" id="{00000000-0008-0000-0900-000001D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0.00247</cdr:x>
      <cdr:y>0</cdr:y>
    </cdr:from>
    <cdr:to>
      <cdr:x>0.14277</cdr:x>
      <cdr:y>1</cdr:y>
    </cdr:to>
    <cdr:pic>
      <cdr:nvPicPr>
        <cdr:cNvPr id="57345" name="Picture 1">
          <a:extLst xmlns:a="http://schemas.openxmlformats.org/drawingml/2006/main">
            <a:ext uri="{FF2B5EF4-FFF2-40B4-BE49-F238E27FC236}">
              <a16:creationId xmlns:a16="http://schemas.microsoft.com/office/drawing/2014/main" id="{3BCAD0C3-FA01-479A-914E-229FCDF6C0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2706195" cy="117153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0.03257</cdr:x>
      <cdr:y>0.10931</cdr:y>
    </cdr:from>
    <cdr:to>
      <cdr:x>0.69827</cdr:x>
      <cdr:y>0.73276</cdr:y>
    </cdr:to>
    <cdr:sp macro="" textlink="">
      <cdr:nvSpPr>
        <cdr:cNvPr id="57346" name="Text Box 2">
          <a:extLst xmlns:a="http://schemas.openxmlformats.org/drawingml/2006/main">
            <a:ext uri="{FF2B5EF4-FFF2-40B4-BE49-F238E27FC236}">
              <a16:creationId xmlns:a16="http://schemas.microsoft.com/office/drawing/2014/main" id="{0C19A043-9DF0-45D4-96E2-F121C2C91A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384" y="83347"/>
          <a:ext cx="12840034" cy="45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00" b="1" i="0" strike="noStrike">
              <a:solidFill>
                <a:srgbClr val="000000"/>
              </a:solidFill>
              <a:latin typeface="Arial"/>
              <a:cs typeface="Arial"/>
            </a:rPr>
            <a:t>Drilling Costs by category</a:t>
          </a:r>
        </a:p>
      </cdr:txBody>
    </cdr:sp>
  </cdr:relSizeAnchor>
  <cdr:relSizeAnchor xmlns:cdr="http://schemas.openxmlformats.org/drawingml/2006/chartDrawing">
    <cdr:from>
      <cdr:x>0.00247</cdr:x>
      <cdr:y>0.30814</cdr:y>
    </cdr:from>
    <cdr:to>
      <cdr:x>0.99529</cdr:x>
      <cdr:y>0.30814</cdr:y>
    </cdr:to>
    <cdr:sp macro="" textlink="">
      <cdr:nvSpPr>
        <cdr:cNvPr id="57347" name="Line 3">
          <a:extLst xmlns:a="http://schemas.openxmlformats.org/drawingml/2006/main">
            <a:ext uri="{FF2B5EF4-FFF2-40B4-BE49-F238E27FC236}">
              <a16:creationId xmlns:a16="http://schemas.microsoft.com/office/drawing/2014/main" id="{3FED2486-3BB0-408F-A06D-7A25A82BDB01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800" y="229170"/>
          <a:ext cx="1914969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0.02446</cdr:x>
      <cdr:y>0</cdr:y>
    </cdr:from>
    <cdr:to>
      <cdr:x>0.02446</cdr:x>
      <cdr:y>1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113C76F7-A831-45C3-A28B-F1DF578B99B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B5V6w0xEdKXQTfSxJxGD0J</a:t>
          </a:r>
          <a:endParaRPr lang="ru-RU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0.08941</cdr:x>
      <cdr:y>0.92626</cdr:y>
    </cdr:from>
    <cdr:to>
      <cdr:x>0.13059</cdr:x>
      <cdr:y>0.96763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E04664-09B5-4C43-AE63-5900673CEE72}"/>
            </a:ext>
          </a:extLst>
        </cdr:cNvPr>
        <cdr:cNvSpPr txBox="1"/>
      </cdr:nvSpPr>
      <cdr:spPr>
        <a:xfrm xmlns:a="http://schemas.openxmlformats.org/drawingml/2006/main">
          <a:off x="832069" y="5638362"/>
          <a:ext cx="383190" cy="251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YK</a:t>
          </a:r>
          <a:endParaRPr lang="ru-RU" sz="1400" b="1"/>
        </a:p>
      </cdr:txBody>
    </cdr:sp>
  </cdr:relSizeAnchor>
  <cdr:relSizeAnchor xmlns:cdr="http://schemas.openxmlformats.org/drawingml/2006/chartDrawing">
    <cdr:from>
      <cdr:x>0.31614</cdr:x>
      <cdr:y>0.01019</cdr:y>
    </cdr:from>
    <cdr:to>
      <cdr:x>0.6797</cdr:x>
      <cdr:y>0.06497</cdr:y>
    </cdr:to>
    <cdr:sp macro="" textlink="">
      <cdr:nvSpPr>
        <cdr:cNvPr id="3" name="Прямоугольник 2">
          <a:extLst xmlns:a="http://schemas.openxmlformats.org/drawingml/2006/main">
            <a:ext uri="{FF2B5EF4-FFF2-40B4-BE49-F238E27FC236}">
              <a16:creationId xmlns:a16="http://schemas.microsoft.com/office/drawing/2014/main" id="{7F4AF941-2FA6-4EDB-83FA-268990216A79}"/>
            </a:ext>
          </a:extLst>
        </cdr:cNvPr>
        <cdr:cNvSpPr/>
      </cdr:nvSpPr>
      <cdr:spPr bwMode="auto">
        <a:xfrm xmlns:a="http://schemas.openxmlformats.org/drawingml/2006/main">
          <a:off x="2942684" y="61945"/>
          <a:ext cx="3384083" cy="33300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n-US" sz="1800" b="1" i="1" u="sng">
              <a:ln>
                <a:noFill/>
              </a:ln>
            </a:rPr>
            <a:t>Company Name</a:t>
          </a:r>
          <a:endParaRPr lang="ru-RU" sz="1800" b="1" i="1" u="sng">
            <a:ln>
              <a:noFill/>
            </a:ln>
          </a:endParaRPr>
        </a:p>
      </cdr:txBody>
    </cdr:sp>
  </cdr:relSizeAnchor>
  <cdr:relSizeAnchor xmlns:cdr="http://schemas.openxmlformats.org/drawingml/2006/chartDrawing">
    <cdr:from>
      <cdr:x>0.22296</cdr:x>
      <cdr:y>0.38217</cdr:y>
    </cdr:from>
    <cdr:to>
      <cdr:x>0.80532</cdr:x>
      <cdr:y>0.68153</cdr:y>
    </cdr:to>
    <cdr:sp macro="" textlink="">
      <cdr:nvSpPr>
        <cdr:cNvPr id="5" name="Прямоугольник 4">
          <a:extLst xmlns:a="http://schemas.openxmlformats.org/drawingml/2006/main">
            <a:ext uri="{FF2B5EF4-FFF2-40B4-BE49-F238E27FC236}">
              <a16:creationId xmlns:a16="http://schemas.microsoft.com/office/drawing/2014/main" id="{C67E1CAF-02E8-4C22-A058-EF90E96C8ECC}"/>
            </a:ext>
          </a:extLst>
        </cdr:cNvPr>
        <cdr:cNvSpPr/>
      </cdr:nvSpPr>
      <cdr:spPr bwMode="auto">
        <a:xfrm xmlns:a="http://schemas.openxmlformats.org/drawingml/2006/main">
          <a:off x="2075366" y="2323170"/>
          <a:ext cx="5420731" cy="18198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n-US" sz="2800">
              <a:effectLst/>
              <a:latin typeface="+mn-lt"/>
              <a:ea typeface="+mn-ea"/>
              <a:cs typeface="+mn-cs"/>
            </a:rPr>
            <a:t>DRAFT - NEED TO PREPARE DETAIL FORECAST WHICH INCLUDE ALL FIXED AND VARIABLE COSTS</a:t>
          </a:r>
          <a:endParaRPr lang="ru-RU" sz="2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0.08941</cdr:x>
      <cdr:y>0.92626</cdr:y>
    </cdr:from>
    <cdr:to>
      <cdr:x>0.13059</cdr:x>
      <cdr:y>0.96763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10DE77-86D5-4842-910B-A62164830001}"/>
            </a:ext>
          </a:extLst>
        </cdr:cNvPr>
        <cdr:cNvSpPr txBox="1"/>
      </cdr:nvSpPr>
      <cdr:spPr>
        <a:xfrm xmlns:a="http://schemas.openxmlformats.org/drawingml/2006/main">
          <a:off x="832069" y="5638362"/>
          <a:ext cx="383190" cy="251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YK</a:t>
          </a:r>
          <a:endParaRPr lang="ru-RU" sz="1400" b="1"/>
        </a:p>
      </cdr:txBody>
    </cdr:sp>
  </cdr:relSizeAnchor>
  <cdr:relSizeAnchor xmlns:cdr="http://schemas.openxmlformats.org/drawingml/2006/chartDrawing">
    <cdr:from>
      <cdr:x>0.31614</cdr:x>
      <cdr:y>0.01019</cdr:y>
    </cdr:from>
    <cdr:to>
      <cdr:x>0.6822</cdr:x>
      <cdr:y>0.06497</cdr:y>
    </cdr:to>
    <cdr:sp macro="" textlink="">
      <cdr:nvSpPr>
        <cdr:cNvPr id="3" name="Прямоугольник 2">
          <a:extLst xmlns:a="http://schemas.openxmlformats.org/drawingml/2006/main">
            <a:ext uri="{FF2B5EF4-FFF2-40B4-BE49-F238E27FC236}">
              <a16:creationId xmlns:a16="http://schemas.microsoft.com/office/drawing/2014/main" id="{E7ED160C-E02F-499A-AB23-298F4BB49BD8}"/>
            </a:ext>
          </a:extLst>
        </cdr:cNvPr>
        <cdr:cNvSpPr/>
      </cdr:nvSpPr>
      <cdr:spPr bwMode="auto">
        <a:xfrm xmlns:a="http://schemas.openxmlformats.org/drawingml/2006/main">
          <a:off x="2942684" y="61945"/>
          <a:ext cx="3407315" cy="33300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n-US" sz="1800" b="1" i="1" u="sng">
              <a:ln>
                <a:noFill/>
              </a:ln>
            </a:rPr>
            <a:t>Company</a:t>
          </a:r>
          <a:r>
            <a:rPr lang="en-US" sz="1800" b="1" i="1" u="sng" baseline="0">
              <a:ln>
                <a:noFill/>
              </a:ln>
            </a:rPr>
            <a:t> Name</a:t>
          </a:r>
          <a:endParaRPr lang="ru-RU" sz="1800" b="1" i="1" u="sng">
            <a:ln>
              <a:noFill/>
            </a:ln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7742" cy="562282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0.46958</cdr:x>
      <cdr:y>0.05224</cdr:y>
    </cdr:from>
    <cdr:to>
      <cdr:x>0.51833</cdr:x>
      <cdr:y>0.09399</cdr:y>
    </cdr:to>
    <cdr:sp macro="" textlink="">
      <cdr:nvSpPr>
        <cdr:cNvPr id="288769" name="Text Box 1">
          <a:extLst xmlns:a="http://schemas.openxmlformats.org/drawingml/2006/main">
            <a:ext uri="{FF2B5EF4-FFF2-40B4-BE49-F238E27FC236}">
              <a16:creationId xmlns:a16="http://schemas.microsoft.com/office/drawing/2014/main" id="{9B5FEEB0-6E35-431B-A87C-FD4CCAD705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8468" y="293762"/>
          <a:ext cx="449365" cy="23475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95000"/>
            <a:lumOff val="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1" i="0" strike="noStrike">
              <a:solidFill>
                <a:schemeClr val="bg1"/>
              </a:solidFill>
              <a:latin typeface="Arial"/>
              <a:cs typeface="Arial"/>
            </a:rPr>
            <a:t>DAYS</a:t>
          </a:r>
        </a:p>
      </cdr:txBody>
    </cdr:sp>
  </cdr:relSizeAnchor>
  <cdr:relSizeAnchor xmlns:cdr="http://schemas.openxmlformats.org/drawingml/2006/chartDrawing">
    <cdr:from>
      <cdr:x>0.00551</cdr:x>
      <cdr:y>0.00903</cdr:y>
    </cdr:from>
    <cdr:to>
      <cdr:x>0.00551</cdr:x>
      <cdr:y>0.00903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D3ED659D-BBA0-488A-AA37-9FB65AD6E129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0Heqn4vYvLEPdgSYVEeR7d</a:t>
          </a:r>
          <a:endParaRPr lang="ru-RU" sz="1100"/>
        </a:p>
      </cdr:txBody>
    </cdr:sp>
  </cdr:relSizeAnchor>
  <cdr:relSizeAnchor xmlns:cdr="http://schemas.openxmlformats.org/drawingml/2006/chartDrawing">
    <cdr:from>
      <cdr:x>0.70833</cdr:x>
      <cdr:y>0.69126</cdr:y>
    </cdr:from>
    <cdr:to>
      <cdr:x>0.90167</cdr:x>
      <cdr:y>0.8429</cdr:y>
    </cdr:to>
    <cdr:sp macro="" textlink="">
      <cdr:nvSpPr>
        <cdr:cNvPr id="5" name="Прямоугольная выноска 4">
          <a:extLst xmlns:a="http://schemas.openxmlformats.org/drawingml/2006/main">
            <a:ext uri="{FF2B5EF4-FFF2-40B4-BE49-F238E27FC236}">
              <a16:creationId xmlns:a16="http://schemas.microsoft.com/office/drawing/2014/main" id="{0D49CC77-BF38-4255-8829-F67CD0A4FD8A}"/>
            </a:ext>
          </a:extLst>
        </cdr:cNvPr>
        <cdr:cNvSpPr/>
      </cdr:nvSpPr>
      <cdr:spPr bwMode="auto">
        <a:xfrm xmlns:a="http://schemas.openxmlformats.org/drawingml/2006/main">
          <a:off x="6529234" y="3886815"/>
          <a:ext cx="1782097" cy="852641"/>
        </a:xfrm>
        <a:prstGeom xmlns:a="http://schemas.openxmlformats.org/drawingml/2006/main" prst="wedgeRectCallout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n-US" b="1"/>
            <a:t>AVERAGE SPEED. WILL BE UPDATED WHEN GEOLOGISTS DETERMINE THE CORING INTERVAL</a:t>
          </a:r>
          <a:endParaRPr lang="ru-RU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0.00592</cdr:x>
      <cdr:y>0.00871</cdr:y>
    </cdr:from>
    <cdr:to>
      <cdr:x>0.00592</cdr:x>
      <cdr:y>0.00871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37145E80-3AD9-42B9-A66B-6242C242BDD9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skMG4c4rJWoMnDfaWkvCqA</a:t>
          </a:r>
          <a:endParaRPr lang="ru-RU" sz="1100"/>
        </a:p>
      </cdr:txBody>
    </cdr:sp>
  </cdr:relSizeAnchor>
  <cdr:relSizeAnchor xmlns:cdr="http://schemas.openxmlformats.org/drawingml/2006/chartDrawing">
    <cdr:from>
      <cdr:x>0.00592</cdr:x>
      <cdr:y>0.00871</cdr:y>
    </cdr:from>
    <cdr:to>
      <cdr:x>0.00592</cdr:x>
      <cdr:y>0.00871</cdr:y>
    </cdr:to>
    <cdr:sp macro="" textlink="">
      <cdr:nvSpPr>
        <cdr:cNvPr id="3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B9A4874B-C5DF-4540-B667-E77443713AD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skMG4c4rJWoMnDfaWkvCqA</a:t>
          </a:r>
          <a:endParaRPr lang="ru-RU" sz="1100"/>
        </a:p>
      </cdr:txBody>
    </cdr:sp>
  </cdr:relSizeAnchor>
  <cdr:relSizeAnchor xmlns:cdr="http://schemas.openxmlformats.org/drawingml/2006/chartDrawing">
    <cdr:from>
      <cdr:x>0.00482</cdr:x>
      <cdr:y>0.94834</cdr:y>
    </cdr:from>
    <cdr:to>
      <cdr:x>0.04957</cdr:x>
      <cdr:y>0.99147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259F19C-7F07-4EA8-B5B7-2FDE78ACCF5A}"/>
            </a:ext>
          </a:extLst>
        </cdr:cNvPr>
        <cdr:cNvSpPr txBox="1"/>
      </cdr:nvSpPr>
      <cdr:spPr>
        <a:xfrm xmlns:a="http://schemas.openxmlformats.org/drawingml/2006/main">
          <a:off x="41305" y="5537187"/>
          <a:ext cx="383193" cy="251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YK</a:t>
          </a:r>
          <a:endParaRPr lang="ru-RU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56"/>
  <sheetViews>
    <sheetView workbookViewId="0">
      <selection activeCell="L14" sqref="L14"/>
    </sheetView>
  </sheetViews>
  <sheetFormatPr defaultRowHeight="12.75" x14ac:dyDescent="0.2"/>
  <cols>
    <col min="2" max="2" width="10.140625" bestFit="1" customWidth="1"/>
    <col min="3" max="3" width="11.42578125" customWidth="1"/>
    <col min="5" max="5" width="11" customWidth="1"/>
    <col min="6" max="6" width="10.5703125" customWidth="1"/>
    <col min="8" max="8" width="12.85546875" bestFit="1" customWidth="1"/>
  </cols>
  <sheetData>
    <row r="1" spans="1:15" ht="6.75" customHeight="1" thickBot="1" x14ac:dyDescent="0.25"/>
    <row r="2" spans="1:15" x14ac:dyDescent="0.2">
      <c r="A2" s="58" t="s">
        <v>164</v>
      </c>
      <c r="B2" s="58"/>
      <c r="C2" s="101" t="s">
        <v>198</v>
      </c>
      <c r="D2" s="101"/>
      <c r="E2" s="101"/>
      <c r="F2" s="101"/>
      <c r="G2" s="101"/>
      <c r="J2" s="67"/>
      <c r="K2" s="102" t="s">
        <v>162</v>
      </c>
      <c r="L2" s="103"/>
      <c r="M2" s="68"/>
    </row>
    <row r="3" spans="1:15" ht="13.5" thickBot="1" x14ac:dyDescent="0.25">
      <c r="B3" t="s">
        <v>165</v>
      </c>
      <c r="C3" s="60" t="s">
        <v>159</v>
      </c>
      <c r="D3" s="60" t="s">
        <v>65</v>
      </c>
      <c r="E3" s="60" t="s">
        <v>161</v>
      </c>
      <c r="F3" s="61" t="s">
        <v>160</v>
      </c>
      <c r="G3" s="61" t="s">
        <v>65</v>
      </c>
      <c r="H3" s="61" t="s">
        <v>161</v>
      </c>
      <c r="J3" s="74" t="s">
        <v>65</v>
      </c>
      <c r="K3" s="75" t="s">
        <v>157</v>
      </c>
      <c r="L3" s="75" t="s">
        <v>158</v>
      </c>
      <c r="M3" s="76" t="s">
        <v>163</v>
      </c>
    </row>
    <row r="4" spans="1:15" x14ac:dyDescent="0.2">
      <c r="A4">
        <v>1</v>
      </c>
      <c r="B4" s="80">
        <v>41754</v>
      </c>
      <c r="C4">
        <v>36500</v>
      </c>
      <c r="D4">
        <v>20</v>
      </c>
      <c r="E4" s="94">
        <f>C4</f>
        <v>36500</v>
      </c>
      <c r="F4">
        <v>36500</v>
      </c>
      <c r="G4">
        <v>20</v>
      </c>
      <c r="H4">
        <v>17767</v>
      </c>
      <c r="J4" s="72">
        <v>20</v>
      </c>
      <c r="K4" s="73">
        <f>SUM(E4:E7)/1000</f>
        <v>146</v>
      </c>
      <c r="L4" s="73">
        <v>146</v>
      </c>
      <c r="M4" s="77">
        <f>K4-L4</f>
        <v>0</v>
      </c>
    </row>
    <row r="5" spans="1:15" x14ac:dyDescent="0.2">
      <c r="A5">
        <v>2</v>
      </c>
      <c r="B5" s="80">
        <v>41755</v>
      </c>
      <c r="C5">
        <v>36500</v>
      </c>
      <c r="D5">
        <v>20</v>
      </c>
      <c r="E5" s="94"/>
      <c r="F5">
        <v>36500</v>
      </c>
      <c r="G5">
        <v>20</v>
      </c>
      <c r="J5" s="69">
        <v>200</v>
      </c>
      <c r="K5" s="66">
        <f>SUM(E8:E18)/1000+K4</f>
        <v>547.5</v>
      </c>
      <c r="L5" s="66">
        <v>547.5</v>
      </c>
      <c r="M5" s="78">
        <f>K5-L5</f>
        <v>0</v>
      </c>
    </row>
    <row r="6" spans="1:15" x14ac:dyDescent="0.2">
      <c r="A6">
        <v>3</v>
      </c>
      <c r="B6" s="80">
        <v>41756</v>
      </c>
      <c r="C6">
        <v>36500</v>
      </c>
      <c r="D6">
        <v>20</v>
      </c>
      <c r="E6" s="94"/>
      <c r="F6">
        <v>36500</v>
      </c>
      <c r="G6">
        <v>20</v>
      </c>
      <c r="J6" s="69">
        <v>2500</v>
      </c>
      <c r="K6" s="66">
        <f>SUM(E19:E50)/1000+K5</f>
        <v>1715.5</v>
      </c>
      <c r="L6" s="66">
        <v>1715.5</v>
      </c>
      <c r="M6" s="78">
        <f t="shared" ref="M6:M7" si="0">K6-L6</f>
        <v>0</v>
      </c>
      <c r="O6" s="64"/>
    </row>
    <row r="7" spans="1:15" x14ac:dyDescent="0.2">
      <c r="A7">
        <v>4</v>
      </c>
      <c r="B7" s="80">
        <v>41757</v>
      </c>
      <c r="C7">
        <v>36500</v>
      </c>
      <c r="D7">
        <v>20</v>
      </c>
      <c r="E7" s="94">
        <f>SUM(C5:C7)</f>
        <v>109500</v>
      </c>
      <c r="F7">
        <v>36500</v>
      </c>
      <c r="G7">
        <v>20</v>
      </c>
      <c r="J7" s="92">
        <v>4950</v>
      </c>
      <c r="K7" s="93">
        <f>SUM(E51:E93)/1000+K6</f>
        <v>3285</v>
      </c>
      <c r="L7" s="93">
        <v>3285</v>
      </c>
      <c r="M7" s="78">
        <f t="shared" si="0"/>
        <v>0</v>
      </c>
      <c r="N7" s="85"/>
      <c r="O7" s="84"/>
    </row>
    <row r="8" spans="1:15" ht="13.5" thickBot="1" x14ac:dyDescent="0.25">
      <c r="A8">
        <v>5</v>
      </c>
      <c r="B8" s="80">
        <v>41758</v>
      </c>
      <c r="C8">
        <v>36500</v>
      </c>
      <c r="D8">
        <v>56</v>
      </c>
      <c r="E8" s="95"/>
      <c r="F8">
        <v>36500</v>
      </c>
      <c r="G8">
        <v>56</v>
      </c>
      <c r="J8" s="70">
        <v>5500</v>
      </c>
      <c r="K8" s="71">
        <f>SUM(E94:E148)/1000+K7</f>
        <v>5292.5</v>
      </c>
      <c r="L8" s="71">
        <v>5292.5</v>
      </c>
      <c r="M8" s="79">
        <f>K8-L8</f>
        <v>0</v>
      </c>
      <c r="O8" s="36"/>
    </row>
    <row r="9" spans="1:15" x14ac:dyDescent="0.2">
      <c r="A9">
        <v>6</v>
      </c>
      <c r="B9" s="80">
        <v>41759</v>
      </c>
      <c r="C9">
        <v>36500</v>
      </c>
      <c r="D9">
        <v>92</v>
      </c>
      <c r="E9" s="95"/>
      <c r="F9">
        <v>36500</v>
      </c>
      <c r="G9">
        <v>92</v>
      </c>
      <c r="J9" s="58"/>
      <c r="L9" s="58"/>
      <c r="M9" s="55"/>
      <c r="O9" s="36"/>
    </row>
    <row r="10" spans="1:15" x14ac:dyDescent="0.2">
      <c r="A10">
        <v>7</v>
      </c>
      <c r="B10" s="80">
        <v>41760</v>
      </c>
      <c r="C10">
        <v>36500</v>
      </c>
      <c r="D10">
        <v>128</v>
      </c>
      <c r="E10" s="95"/>
      <c r="F10">
        <v>36500</v>
      </c>
      <c r="G10">
        <v>128</v>
      </c>
      <c r="H10" s="62">
        <f>SUM(F5:F10)</f>
        <v>219000</v>
      </c>
      <c r="J10" s="36"/>
      <c r="L10" s="58"/>
    </row>
    <row r="11" spans="1:15" x14ac:dyDescent="0.2">
      <c r="A11">
        <v>8</v>
      </c>
      <c r="B11" s="80">
        <v>41761</v>
      </c>
      <c r="C11">
        <v>36500</v>
      </c>
      <c r="D11">
        <v>164</v>
      </c>
      <c r="E11" s="95"/>
      <c r="F11">
        <v>36500</v>
      </c>
      <c r="G11">
        <v>164</v>
      </c>
    </row>
    <row r="12" spans="1:15" x14ac:dyDescent="0.2">
      <c r="A12">
        <v>9</v>
      </c>
      <c r="B12" s="80">
        <v>41762</v>
      </c>
      <c r="C12">
        <v>36500</v>
      </c>
      <c r="D12">
        <v>200</v>
      </c>
      <c r="E12" s="95">
        <f>SUM(C8:C12)</f>
        <v>182500</v>
      </c>
      <c r="F12">
        <v>36500</v>
      </c>
      <c r="G12">
        <v>200</v>
      </c>
    </row>
    <row r="13" spans="1:15" x14ac:dyDescent="0.2">
      <c r="A13">
        <v>10</v>
      </c>
      <c r="B13" s="80">
        <v>41763</v>
      </c>
      <c r="C13">
        <v>36500</v>
      </c>
      <c r="D13">
        <v>200</v>
      </c>
      <c r="E13" s="95"/>
      <c r="F13">
        <v>36500</v>
      </c>
      <c r="G13">
        <v>200</v>
      </c>
    </row>
    <row r="14" spans="1:15" x14ac:dyDescent="0.2">
      <c r="A14">
        <v>11</v>
      </c>
      <c r="B14" s="80">
        <v>41764</v>
      </c>
      <c r="C14">
        <v>36500</v>
      </c>
      <c r="D14">
        <v>200</v>
      </c>
      <c r="E14" s="95"/>
      <c r="F14">
        <v>36500</v>
      </c>
      <c r="G14">
        <v>200</v>
      </c>
      <c r="H14" s="62">
        <f>SUM(F11:F14)</f>
        <v>146000</v>
      </c>
    </row>
    <row r="15" spans="1:15" x14ac:dyDescent="0.2">
      <c r="A15">
        <v>12</v>
      </c>
      <c r="B15" s="80">
        <v>41765</v>
      </c>
      <c r="C15">
        <v>36500</v>
      </c>
      <c r="D15">
        <v>200</v>
      </c>
      <c r="E15" s="95"/>
      <c r="F15">
        <v>36500</v>
      </c>
      <c r="G15">
        <v>200</v>
      </c>
      <c r="H15" s="62"/>
      <c r="J15" s="55"/>
    </row>
    <row r="16" spans="1:15" x14ac:dyDescent="0.2">
      <c r="A16">
        <v>13</v>
      </c>
      <c r="B16" s="80">
        <v>41766</v>
      </c>
      <c r="C16">
        <v>36500</v>
      </c>
      <c r="D16">
        <v>200</v>
      </c>
      <c r="E16" s="95"/>
      <c r="F16">
        <v>36500</v>
      </c>
      <c r="G16">
        <v>200</v>
      </c>
    </row>
    <row r="17" spans="1:7" x14ac:dyDescent="0.2">
      <c r="A17">
        <v>14</v>
      </c>
      <c r="B17" s="80">
        <v>41767</v>
      </c>
      <c r="C17">
        <v>36500</v>
      </c>
      <c r="D17">
        <v>200</v>
      </c>
      <c r="E17" s="95"/>
      <c r="F17">
        <v>36500</v>
      </c>
      <c r="G17">
        <v>200</v>
      </c>
    </row>
    <row r="18" spans="1:7" x14ac:dyDescent="0.2">
      <c r="A18">
        <v>15</v>
      </c>
      <c r="B18" s="80">
        <v>41768</v>
      </c>
      <c r="C18">
        <v>36500</v>
      </c>
      <c r="D18">
        <v>200</v>
      </c>
      <c r="E18" s="95">
        <f>SUM(C13:C18)</f>
        <v>219000</v>
      </c>
      <c r="F18">
        <v>36500</v>
      </c>
      <c r="G18">
        <v>200</v>
      </c>
    </row>
    <row r="19" spans="1:7" x14ac:dyDescent="0.2">
      <c r="A19">
        <v>16</v>
      </c>
      <c r="B19" s="80">
        <v>41769</v>
      </c>
      <c r="C19">
        <v>36500</v>
      </c>
      <c r="D19" s="13">
        <v>292</v>
      </c>
      <c r="E19" s="96"/>
      <c r="F19">
        <v>36500</v>
      </c>
      <c r="G19" s="13">
        <v>292</v>
      </c>
    </row>
    <row r="20" spans="1:7" x14ac:dyDescent="0.2">
      <c r="A20">
        <v>17</v>
      </c>
      <c r="B20" s="80">
        <v>41770</v>
      </c>
      <c r="C20">
        <v>36500</v>
      </c>
      <c r="D20" s="13">
        <v>384</v>
      </c>
      <c r="E20" s="96"/>
      <c r="F20">
        <v>36500</v>
      </c>
      <c r="G20" s="13">
        <v>384</v>
      </c>
    </row>
    <row r="21" spans="1:7" x14ac:dyDescent="0.2">
      <c r="A21">
        <v>18</v>
      </c>
      <c r="B21" s="80">
        <v>41771</v>
      </c>
      <c r="C21">
        <v>36500</v>
      </c>
      <c r="D21" s="13">
        <v>476</v>
      </c>
      <c r="E21" s="96"/>
      <c r="F21">
        <v>36500</v>
      </c>
      <c r="G21" s="13">
        <v>476</v>
      </c>
    </row>
    <row r="22" spans="1:7" x14ac:dyDescent="0.2">
      <c r="A22">
        <v>19</v>
      </c>
      <c r="B22" s="80">
        <v>41772</v>
      </c>
      <c r="C22">
        <v>36500</v>
      </c>
      <c r="D22" s="13">
        <v>568</v>
      </c>
      <c r="E22" s="96"/>
      <c r="F22">
        <v>36500</v>
      </c>
      <c r="G22" s="13">
        <v>568</v>
      </c>
    </row>
    <row r="23" spans="1:7" x14ac:dyDescent="0.2">
      <c r="A23">
        <v>20</v>
      </c>
      <c r="B23" s="80">
        <v>41773</v>
      </c>
      <c r="C23">
        <v>36500</v>
      </c>
      <c r="D23" s="13">
        <v>660</v>
      </c>
      <c r="E23" s="96"/>
      <c r="F23">
        <v>36500</v>
      </c>
      <c r="G23" s="13">
        <v>660</v>
      </c>
    </row>
    <row r="24" spans="1:7" x14ac:dyDescent="0.2">
      <c r="A24">
        <v>21</v>
      </c>
      <c r="B24" s="80">
        <v>41774</v>
      </c>
      <c r="C24">
        <v>36500</v>
      </c>
      <c r="D24" s="13">
        <v>752</v>
      </c>
      <c r="E24" s="96"/>
      <c r="F24">
        <v>36500</v>
      </c>
      <c r="G24" s="13">
        <v>752</v>
      </c>
    </row>
    <row r="25" spans="1:7" x14ac:dyDescent="0.2">
      <c r="A25">
        <v>22</v>
      </c>
      <c r="B25" s="80">
        <v>41775</v>
      </c>
      <c r="C25">
        <v>36500</v>
      </c>
      <c r="D25" s="13">
        <v>844</v>
      </c>
      <c r="E25" s="96"/>
      <c r="F25">
        <v>36500</v>
      </c>
      <c r="G25" s="13">
        <v>844</v>
      </c>
    </row>
    <row r="26" spans="1:7" x14ac:dyDescent="0.2">
      <c r="A26">
        <v>23</v>
      </c>
      <c r="B26" s="80">
        <v>41776</v>
      </c>
      <c r="C26">
        <v>36500</v>
      </c>
      <c r="D26" s="13">
        <v>936</v>
      </c>
      <c r="E26" s="96"/>
      <c r="F26">
        <v>36500</v>
      </c>
      <c r="G26" s="13">
        <v>936</v>
      </c>
    </row>
    <row r="27" spans="1:7" x14ac:dyDescent="0.2">
      <c r="A27">
        <v>24</v>
      </c>
      <c r="B27" s="80">
        <v>41777</v>
      </c>
      <c r="C27">
        <v>36500</v>
      </c>
      <c r="D27" s="13">
        <v>1028</v>
      </c>
      <c r="E27" s="96"/>
      <c r="F27">
        <v>36500</v>
      </c>
      <c r="G27" s="13">
        <v>1028</v>
      </c>
    </row>
    <row r="28" spans="1:7" x14ac:dyDescent="0.2">
      <c r="A28">
        <v>25</v>
      </c>
      <c r="B28" s="80">
        <v>41778</v>
      </c>
      <c r="C28">
        <v>36500</v>
      </c>
      <c r="D28" s="13">
        <v>1120</v>
      </c>
      <c r="E28" s="96"/>
      <c r="F28">
        <v>36500</v>
      </c>
      <c r="G28" s="13">
        <v>1120</v>
      </c>
    </row>
    <row r="29" spans="1:7" x14ac:dyDescent="0.2">
      <c r="A29">
        <v>26</v>
      </c>
      <c r="B29" s="80">
        <v>41779</v>
      </c>
      <c r="C29">
        <v>36500</v>
      </c>
      <c r="D29" s="13">
        <v>1212</v>
      </c>
      <c r="E29" s="96"/>
      <c r="F29">
        <v>36500</v>
      </c>
      <c r="G29" s="13">
        <v>1212</v>
      </c>
    </row>
    <row r="30" spans="1:7" x14ac:dyDescent="0.2">
      <c r="A30">
        <v>27</v>
      </c>
      <c r="B30" s="80">
        <v>41780</v>
      </c>
      <c r="C30">
        <v>36500</v>
      </c>
      <c r="D30" s="13">
        <v>1304</v>
      </c>
      <c r="E30" s="96"/>
      <c r="F30">
        <v>36500</v>
      </c>
      <c r="G30" s="13">
        <v>1304</v>
      </c>
    </row>
    <row r="31" spans="1:7" x14ac:dyDescent="0.2">
      <c r="A31">
        <v>28</v>
      </c>
      <c r="B31" s="80">
        <v>41781</v>
      </c>
      <c r="C31">
        <v>36500</v>
      </c>
      <c r="D31" s="13">
        <v>1396</v>
      </c>
      <c r="E31" s="96"/>
      <c r="F31">
        <v>36500</v>
      </c>
      <c r="G31" s="13">
        <v>1396</v>
      </c>
    </row>
    <row r="32" spans="1:7" x14ac:dyDescent="0.2">
      <c r="A32">
        <v>29</v>
      </c>
      <c r="B32" s="80">
        <v>41782</v>
      </c>
      <c r="C32">
        <v>36500</v>
      </c>
      <c r="D32" s="13">
        <v>1488</v>
      </c>
      <c r="E32" s="96"/>
      <c r="F32">
        <v>36500</v>
      </c>
      <c r="G32" s="13">
        <v>1488</v>
      </c>
    </row>
    <row r="33" spans="1:8" x14ac:dyDescent="0.2">
      <c r="A33">
        <v>30</v>
      </c>
      <c r="B33" s="80">
        <v>41783</v>
      </c>
      <c r="C33">
        <v>36500</v>
      </c>
      <c r="D33" s="13">
        <v>1580</v>
      </c>
      <c r="E33" s="96"/>
      <c r="F33">
        <v>36500</v>
      </c>
      <c r="G33" s="13">
        <v>1580</v>
      </c>
    </row>
    <row r="34" spans="1:8" x14ac:dyDescent="0.2">
      <c r="A34">
        <v>31</v>
      </c>
      <c r="B34" s="80">
        <v>41784</v>
      </c>
      <c r="C34">
        <v>36500</v>
      </c>
      <c r="D34" s="13">
        <v>1672</v>
      </c>
      <c r="E34" s="96"/>
      <c r="F34">
        <v>36500</v>
      </c>
      <c r="G34" s="13">
        <v>1672</v>
      </c>
    </row>
    <row r="35" spans="1:8" x14ac:dyDescent="0.2">
      <c r="A35">
        <v>32</v>
      </c>
      <c r="B35" s="80">
        <v>41785</v>
      </c>
      <c r="C35">
        <v>36500</v>
      </c>
      <c r="D35" s="13">
        <v>1764</v>
      </c>
      <c r="E35" s="96"/>
      <c r="F35">
        <v>36500</v>
      </c>
      <c r="G35" s="13">
        <v>1764</v>
      </c>
    </row>
    <row r="36" spans="1:8" x14ac:dyDescent="0.2">
      <c r="A36">
        <v>33</v>
      </c>
      <c r="B36" s="80">
        <v>41786</v>
      </c>
      <c r="C36">
        <v>36500</v>
      </c>
      <c r="D36" s="13">
        <v>1856</v>
      </c>
      <c r="E36" s="96"/>
      <c r="F36">
        <v>36500</v>
      </c>
      <c r="G36" s="13">
        <v>1856</v>
      </c>
    </row>
    <row r="37" spans="1:8" x14ac:dyDescent="0.2">
      <c r="A37">
        <v>34</v>
      </c>
      <c r="B37" s="80">
        <v>41787</v>
      </c>
      <c r="C37">
        <v>36500</v>
      </c>
      <c r="D37" s="13">
        <v>1948</v>
      </c>
      <c r="E37" s="96"/>
      <c r="F37">
        <v>36500</v>
      </c>
      <c r="G37" s="13">
        <v>1948</v>
      </c>
    </row>
    <row r="38" spans="1:8" x14ac:dyDescent="0.2">
      <c r="A38">
        <v>35</v>
      </c>
      <c r="B38" s="80">
        <v>41788</v>
      </c>
      <c r="C38">
        <v>36500</v>
      </c>
      <c r="D38" s="13">
        <v>2040</v>
      </c>
      <c r="E38" s="96"/>
      <c r="F38">
        <v>36500</v>
      </c>
      <c r="G38" s="13">
        <v>2040</v>
      </c>
      <c r="H38" s="62"/>
    </row>
    <row r="39" spans="1:8" x14ac:dyDescent="0.2">
      <c r="A39">
        <v>36</v>
      </c>
      <c r="B39" s="80">
        <v>41789</v>
      </c>
      <c r="C39">
        <v>36500</v>
      </c>
      <c r="D39" s="13">
        <v>2132</v>
      </c>
      <c r="E39" s="96"/>
      <c r="F39">
        <v>36500</v>
      </c>
      <c r="G39" s="13">
        <v>2132</v>
      </c>
      <c r="H39" s="62"/>
    </row>
    <row r="40" spans="1:8" x14ac:dyDescent="0.2">
      <c r="A40">
        <v>37</v>
      </c>
      <c r="B40" s="80">
        <v>41790</v>
      </c>
      <c r="C40">
        <v>36500</v>
      </c>
      <c r="D40" s="13">
        <v>2224</v>
      </c>
      <c r="E40" s="96"/>
      <c r="F40">
        <v>36500</v>
      </c>
      <c r="G40" s="13">
        <v>2224</v>
      </c>
      <c r="H40" s="62"/>
    </row>
    <row r="41" spans="1:8" x14ac:dyDescent="0.2">
      <c r="A41">
        <v>38</v>
      </c>
      <c r="B41" s="80">
        <v>41791</v>
      </c>
      <c r="C41">
        <v>36500</v>
      </c>
      <c r="D41" s="13">
        <v>2316</v>
      </c>
      <c r="E41" s="96"/>
      <c r="F41">
        <v>36500</v>
      </c>
      <c r="G41" s="13">
        <v>2316</v>
      </c>
      <c r="H41" s="62"/>
    </row>
    <row r="42" spans="1:8" x14ac:dyDescent="0.2">
      <c r="A42">
        <v>39</v>
      </c>
      <c r="B42" s="80">
        <v>41792</v>
      </c>
      <c r="C42">
        <v>36500</v>
      </c>
      <c r="D42" s="13">
        <v>2408</v>
      </c>
      <c r="E42" s="96"/>
      <c r="F42">
        <v>36500</v>
      </c>
      <c r="G42" s="13">
        <v>2408</v>
      </c>
      <c r="H42" s="62">
        <f>SUM(F15:F42)</f>
        <v>1022000</v>
      </c>
    </row>
    <row r="43" spans="1:8" x14ac:dyDescent="0.2">
      <c r="A43">
        <v>40</v>
      </c>
      <c r="B43" s="80">
        <v>41793</v>
      </c>
      <c r="C43">
        <v>36500</v>
      </c>
      <c r="D43" s="13">
        <v>2500</v>
      </c>
      <c r="E43" s="96">
        <f>SUM(C19:C43)</f>
        <v>912500</v>
      </c>
      <c r="F43">
        <v>36500</v>
      </c>
      <c r="G43" s="13">
        <v>2500</v>
      </c>
    </row>
    <row r="44" spans="1:8" x14ac:dyDescent="0.2">
      <c r="A44">
        <v>41</v>
      </c>
      <c r="B44" s="80">
        <v>41794</v>
      </c>
      <c r="C44">
        <v>36500</v>
      </c>
      <c r="D44" s="13">
        <v>2500</v>
      </c>
      <c r="E44" s="96"/>
      <c r="F44">
        <v>36500</v>
      </c>
      <c r="G44" s="13">
        <v>2500</v>
      </c>
      <c r="H44" s="62"/>
    </row>
    <row r="45" spans="1:8" x14ac:dyDescent="0.2">
      <c r="A45">
        <v>42</v>
      </c>
      <c r="B45" s="80">
        <v>41795</v>
      </c>
      <c r="C45">
        <v>36500</v>
      </c>
      <c r="D45" s="13">
        <v>2500</v>
      </c>
      <c r="E45" s="96"/>
      <c r="F45">
        <v>36500</v>
      </c>
      <c r="G45" s="13">
        <v>2500</v>
      </c>
      <c r="H45" s="62"/>
    </row>
    <row r="46" spans="1:8" x14ac:dyDescent="0.2">
      <c r="A46">
        <v>43</v>
      </c>
      <c r="B46" s="80">
        <v>41796</v>
      </c>
      <c r="C46">
        <v>36500</v>
      </c>
      <c r="D46" s="13">
        <v>2500</v>
      </c>
      <c r="E46" s="96"/>
      <c r="F46">
        <v>36500</v>
      </c>
      <c r="G46" s="13">
        <v>2500</v>
      </c>
      <c r="H46" s="62"/>
    </row>
    <row r="47" spans="1:8" x14ac:dyDescent="0.2">
      <c r="A47">
        <v>44</v>
      </c>
      <c r="B47" s="80">
        <v>41797</v>
      </c>
      <c r="C47">
        <v>36500</v>
      </c>
      <c r="D47" s="13">
        <v>2500</v>
      </c>
      <c r="E47" s="96"/>
      <c r="F47">
        <v>36500</v>
      </c>
      <c r="G47" s="13">
        <v>2500</v>
      </c>
    </row>
    <row r="48" spans="1:8" x14ac:dyDescent="0.2">
      <c r="A48">
        <v>45</v>
      </c>
      <c r="B48" s="80">
        <v>41798</v>
      </c>
      <c r="C48">
        <v>36500</v>
      </c>
      <c r="D48" s="13">
        <v>2500</v>
      </c>
      <c r="E48" s="96"/>
      <c r="F48">
        <v>36500</v>
      </c>
      <c r="G48" s="13">
        <v>2500</v>
      </c>
    </row>
    <row r="49" spans="1:8" x14ac:dyDescent="0.2">
      <c r="A49">
        <v>46</v>
      </c>
      <c r="B49" s="80">
        <v>41799</v>
      </c>
      <c r="C49">
        <v>36500</v>
      </c>
      <c r="D49" s="13">
        <v>2500</v>
      </c>
      <c r="E49" s="96"/>
      <c r="F49">
        <v>36500</v>
      </c>
      <c r="G49" s="13">
        <v>2500</v>
      </c>
    </row>
    <row r="50" spans="1:8" x14ac:dyDescent="0.2">
      <c r="A50">
        <v>47</v>
      </c>
      <c r="B50" s="80">
        <v>41800</v>
      </c>
      <c r="C50">
        <v>36500</v>
      </c>
      <c r="D50" s="13">
        <v>2500</v>
      </c>
      <c r="E50" s="96">
        <f>SUM(C44:C50)</f>
        <v>255500</v>
      </c>
      <c r="F50">
        <v>36500</v>
      </c>
      <c r="G50" s="13">
        <v>2500</v>
      </c>
    </row>
    <row r="51" spans="1:8" x14ac:dyDescent="0.2">
      <c r="A51">
        <v>48</v>
      </c>
      <c r="B51" s="80">
        <v>41801</v>
      </c>
      <c r="C51">
        <v>36500</v>
      </c>
      <c r="D51" s="13">
        <v>2570</v>
      </c>
      <c r="E51" s="97"/>
      <c r="F51">
        <v>36500</v>
      </c>
      <c r="G51" s="13">
        <v>2570</v>
      </c>
      <c r="H51" s="62">
        <f>SUM(F43:F51)</f>
        <v>328500</v>
      </c>
    </row>
    <row r="52" spans="1:8" x14ac:dyDescent="0.2">
      <c r="A52">
        <v>49</v>
      </c>
      <c r="B52" s="80">
        <v>41802</v>
      </c>
      <c r="C52">
        <v>36500</v>
      </c>
      <c r="D52" s="13">
        <v>2640</v>
      </c>
      <c r="E52" s="97"/>
      <c r="F52">
        <v>36500</v>
      </c>
      <c r="G52" s="13">
        <v>2640</v>
      </c>
    </row>
    <row r="53" spans="1:8" x14ac:dyDescent="0.2">
      <c r="A53">
        <v>50</v>
      </c>
      <c r="B53" s="80">
        <v>41803</v>
      </c>
      <c r="C53">
        <v>36500</v>
      </c>
      <c r="D53" s="13">
        <v>2710</v>
      </c>
      <c r="E53" s="97"/>
      <c r="F53">
        <v>36500</v>
      </c>
      <c r="G53" s="13">
        <v>2710</v>
      </c>
    </row>
    <row r="54" spans="1:8" x14ac:dyDescent="0.2">
      <c r="A54">
        <v>51</v>
      </c>
      <c r="B54" s="80">
        <v>41804</v>
      </c>
      <c r="C54">
        <v>36500</v>
      </c>
      <c r="D54" s="13">
        <v>2780</v>
      </c>
      <c r="E54" s="97"/>
      <c r="F54">
        <v>36500</v>
      </c>
      <c r="G54" s="13">
        <v>2780</v>
      </c>
    </row>
    <row r="55" spans="1:8" x14ac:dyDescent="0.2">
      <c r="A55">
        <v>52</v>
      </c>
      <c r="B55" s="80">
        <v>41805</v>
      </c>
      <c r="C55">
        <v>36500</v>
      </c>
      <c r="D55" s="13">
        <v>2850</v>
      </c>
      <c r="E55" s="97"/>
      <c r="F55">
        <v>36500</v>
      </c>
      <c r="G55" s="13">
        <v>2850</v>
      </c>
    </row>
    <row r="56" spans="1:8" x14ac:dyDescent="0.2">
      <c r="A56">
        <v>53</v>
      </c>
      <c r="B56" s="80">
        <v>41806</v>
      </c>
      <c r="C56">
        <v>36500</v>
      </c>
      <c r="D56" s="13">
        <v>2920</v>
      </c>
      <c r="E56" s="97"/>
      <c r="F56">
        <v>36500</v>
      </c>
      <c r="G56" s="13">
        <v>2920</v>
      </c>
    </row>
    <row r="57" spans="1:8" x14ac:dyDescent="0.2">
      <c r="A57">
        <v>54</v>
      </c>
      <c r="B57" s="80">
        <v>41807</v>
      </c>
      <c r="C57">
        <v>36500</v>
      </c>
      <c r="D57" s="13">
        <v>2990</v>
      </c>
      <c r="E57" s="97"/>
      <c r="F57">
        <v>36500</v>
      </c>
      <c r="G57" s="13">
        <v>2990</v>
      </c>
    </row>
    <row r="58" spans="1:8" x14ac:dyDescent="0.2">
      <c r="A58">
        <v>55</v>
      </c>
      <c r="B58" s="80">
        <v>41808</v>
      </c>
      <c r="C58">
        <v>36500</v>
      </c>
      <c r="D58" s="13">
        <v>3060</v>
      </c>
      <c r="E58" s="97"/>
      <c r="F58">
        <v>36500</v>
      </c>
      <c r="G58" s="13">
        <v>3060</v>
      </c>
    </row>
    <row r="59" spans="1:8" x14ac:dyDescent="0.2">
      <c r="A59">
        <v>56</v>
      </c>
      <c r="B59" s="80">
        <v>41809</v>
      </c>
      <c r="C59">
        <v>36500</v>
      </c>
      <c r="D59" s="13">
        <v>3130</v>
      </c>
      <c r="E59" s="97"/>
      <c r="F59">
        <v>36500</v>
      </c>
      <c r="G59" s="13">
        <v>3130</v>
      </c>
    </row>
    <row r="60" spans="1:8" x14ac:dyDescent="0.2">
      <c r="A60">
        <v>57</v>
      </c>
      <c r="B60" s="80">
        <v>41810</v>
      </c>
      <c r="C60">
        <v>36500</v>
      </c>
      <c r="D60" s="13">
        <v>3200</v>
      </c>
      <c r="E60" s="97"/>
      <c r="F60">
        <v>36500</v>
      </c>
      <c r="G60" s="13">
        <v>3200</v>
      </c>
    </row>
    <row r="61" spans="1:8" x14ac:dyDescent="0.2">
      <c r="A61">
        <v>58</v>
      </c>
      <c r="B61" s="80">
        <v>41811</v>
      </c>
      <c r="C61">
        <v>36500</v>
      </c>
      <c r="D61" s="13">
        <v>3270</v>
      </c>
      <c r="E61" s="97"/>
      <c r="F61">
        <v>36500</v>
      </c>
      <c r="G61" s="13">
        <v>3270</v>
      </c>
    </row>
    <row r="62" spans="1:8" x14ac:dyDescent="0.2">
      <c r="A62">
        <v>59</v>
      </c>
      <c r="B62" s="80">
        <v>41812</v>
      </c>
      <c r="C62">
        <v>36500</v>
      </c>
      <c r="D62" s="13">
        <v>3340</v>
      </c>
      <c r="E62" s="97"/>
      <c r="F62">
        <v>36500</v>
      </c>
      <c r="G62" s="13">
        <v>3340</v>
      </c>
    </row>
    <row r="63" spans="1:8" x14ac:dyDescent="0.2">
      <c r="A63">
        <v>60</v>
      </c>
      <c r="B63" s="80">
        <v>41813</v>
      </c>
      <c r="C63">
        <v>36500</v>
      </c>
      <c r="D63" s="13">
        <v>3410</v>
      </c>
      <c r="E63" s="97"/>
      <c r="F63">
        <v>36500</v>
      </c>
      <c r="G63" s="13">
        <v>3410</v>
      </c>
    </row>
    <row r="64" spans="1:8" x14ac:dyDescent="0.2">
      <c r="A64">
        <v>61</v>
      </c>
      <c r="B64" s="80">
        <v>41814</v>
      </c>
      <c r="C64">
        <v>36500</v>
      </c>
      <c r="D64" s="13">
        <v>3480</v>
      </c>
      <c r="E64" s="97"/>
      <c r="F64">
        <v>36500</v>
      </c>
      <c r="G64" s="13">
        <v>3480</v>
      </c>
    </row>
    <row r="65" spans="1:8" x14ac:dyDescent="0.2">
      <c r="A65">
        <v>62</v>
      </c>
      <c r="B65" s="80">
        <v>41815</v>
      </c>
      <c r="C65">
        <v>36500</v>
      </c>
      <c r="D65" s="13">
        <v>3550</v>
      </c>
      <c r="E65" s="97"/>
      <c r="F65">
        <v>36500</v>
      </c>
      <c r="G65" s="13">
        <v>3550</v>
      </c>
    </row>
    <row r="66" spans="1:8" x14ac:dyDescent="0.2">
      <c r="A66">
        <v>63</v>
      </c>
      <c r="B66" s="80">
        <v>41816</v>
      </c>
      <c r="C66">
        <v>36500</v>
      </c>
      <c r="D66" s="13">
        <v>3620</v>
      </c>
      <c r="E66" s="97"/>
      <c r="F66">
        <v>36500</v>
      </c>
      <c r="G66" s="13">
        <v>3620</v>
      </c>
    </row>
    <row r="67" spans="1:8" x14ac:dyDescent="0.2">
      <c r="A67">
        <v>64</v>
      </c>
      <c r="B67" s="80">
        <v>41817</v>
      </c>
      <c r="C67">
        <v>36500</v>
      </c>
      <c r="D67" s="13">
        <v>3690</v>
      </c>
      <c r="E67" s="97"/>
      <c r="F67">
        <v>36500</v>
      </c>
      <c r="G67" s="13">
        <v>3690</v>
      </c>
    </row>
    <row r="68" spans="1:8" x14ac:dyDescent="0.2">
      <c r="A68">
        <v>65</v>
      </c>
      <c r="B68" s="80">
        <v>41818</v>
      </c>
      <c r="C68">
        <v>36500</v>
      </c>
      <c r="D68" s="13">
        <v>3760</v>
      </c>
      <c r="E68" s="97"/>
      <c r="F68">
        <v>36500</v>
      </c>
      <c r="G68" s="13">
        <v>3760</v>
      </c>
    </row>
    <row r="69" spans="1:8" x14ac:dyDescent="0.2">
      <c r="A69">
        <v>66</v>
      </c>
      <c r="B69" s="80">
        <v>41819</v>
      </c>
      <c r="C69">
        <v>36500</v>
      </c>
      <c r="D69" s="13">
        <v>3830</v>
      </c>
      <c r="E69" s="97"/>
      <c r="F69">
        <v>36500</v>
      </c>
      <c r="G69" s="13">
        <v>3830</v>
      </c>
    </row>
    <row r="70" spans="1:8" x14ac:dyDescent="0.2">
      <c r="A70">
        <v>67</v>
      </c>
      <c r="B70" s="80">
        <v>41820</v>
      </c>
      <c r="C70">
        <v>36500</v>
      </c>
      <c r="D70" s="13">
        <v>3900</v>
      </c>
      <c r="E70" s="97"/>
      <c r="F70">
        <v>36500</v>
      </c>
      <c r="G70" s="13">
        <v>3900</v>
      </c>
    </row>
    <row r="71" spans="1:8" x14ac:dyDescent="0.2">
      <c r="A71">
        <v>68</v>
      </c>
      <c r="B71" s="80">
        <v>41821</v>
      </c>
      <c r="C71">
        <v>36500</v>
      </c>
      <c r="D71" s="13">
        <v>3970</v>
      </c>
      <c r="E71" s="97"/>
      <c r="F71">
        <v>36500</v>
      </c>
      <c r="G71" s="13">
        <v>3970</v>
      </c>
    </row>
    <row r="72" spans="1:8" x14ac:dyDescent="0.2">
      <c r="A72">
        <v>69</v>
      </c>
      <c r="B72" s="80">
        <v>41822</v>
      </c>
      <c r="C72">
        <v>36500</v>
      </c>
      <c r="D72" s="13">
        <v>4040</v>
      </c>
      <c r="E72" s="97"/>
      <c r="F72">
        <v>36500</v>
      </c>
      <c r="G72" s="13">
        <v>4040</v>
      </c>
    </row>
    <row r="73" spans="1:8" x14ac:dyDescent="0.2">
      <c r="A73">
        <v>70</v>
      </c>
      <c r="B73" s="80">
        <v>41823</v>
      </c>
      <c r="C73">
        <v>36500</v>
      </c>
      <c r="D73" s="13">
        <v>4110</v>
      </c>
      <c r="E73" s="97"/>
      <c r="F73">
        <v>36500</v>
      </c>
      <c r="G73" s="13">
        <v>4110</v>
      </c>
    </row>
    <row r="74" spans="1:8" x14ac:dyDescent="0.2">
      <c r="A74">
        <v>71</v>
      </c>
      <c r="B74" s="80">
        <v>41824</v>
      </c>
      <c r="C74">
        <v>36500</v>
      </c>
      <c r="D74" s="13">
        <v>4180</v>
      </c>
      <c r="E74" s="97"/>
      <c r="F74">
        <v>36500</v>
      </c>
      <c r="G74" s="13">
        <v>4180</v>
      </c>
    </row>
    <row r="75" spans="1:8" x14ac:dyDescent="0.2">
      <c r="A75">
        <v>72</v>
      </c>
      <c r="B75" s="80">
        <v>41825</v>
      </c>
      <c r="C75">
        <v>36500</v>
      </c>
      <c r="D75" s="13">
        <v>4250</v>
      </c>
      <c r="E75" s="97"/>
      <c r="F75">
        <v>36500</v>
      </c>
      <c r="G75" s="13">
        <v>4250</v>
      </c>
      <c r="H75" s="62"/>
    </row>
    <row r="76" spans="1:8" x14ac:dyDescent="0.2">
      <c r="A76">
        <v>73</v>
      </c>
      <c r="B76" s="80">
        <v>41826</v>
      </c>
      <c r="C76">
        <v>36500</v>
      </c>
      <c r="D76" s="13">
        <v>4320</v>
      </c>
      <c r="E76" s="97"/>
      <c r="F76">
        <v>36500</v>
      </c>
      <c r="G76" s="13">
        <v>4320</v>
      </c>
      <c r="H76" s="62"/>
    </row>
    <row r="77" spans="1:8" x14ac:dyDescent="0.2">
      <c r="A77">
        <v>74</v>
      </c>
      <c r="B77" s="80">
        <v>41827</v>
      </c>
      <c r="C77">
        <v>36500</v>
      </c>
      <c r="D77" s="13">
        <v>4390</v>
      </c>
      <c r="E77" s="97"/>
      <c r="F77">
        <v>36500</v>
      </c>
      <c r="G77" s="13">
        <v>4390</v>
      </c>
      <c r="H77" s="62"/>
    </row>
    <row r="78" spans="1:8" x14ac:dyDescent="0.2">
      <c r="A78">
        <v>75</v>
      </c>
      <c r="B78" s="80">
        <v>41828</v>
      </c>
      <c r="C78">
        <v>36500</v>
      </c>
      <c r="D78" s="13">
        <v>4460</v>
      </c>
      <c r="E78" s="97"/>
      <c r="F78">
        <v>36500</v>
      </c>
      <c r="G78" s="13">
        <v>4460</v>
      </c>
      <c r="H78" s="62"/>
    </row>
    <row r="79" spans="1:8" x14ac:dyDescent="0.2">
      <c r="A79">
        <v>76</v>
      </c>
      <c r="B79" s="80">
        <v>41829</v>
      </c>
      <c r="C79">
        <v>36500</v>
      </c>
      <c r="D79" s="13">
        <v>4530</v>
      </c>
      <c r="E79" s="97"/>
      <c r="F79">
        <v>36500</v>
      </c>
      <c r="G79" s="13">
        <v>4530</v>
      </c>
      <c r="H79" s="62"/>
    </row>
    <row r="80" spans="1:8" x14ac:dyDescent="0.2">
      <c r="A80">
        <v>77</v>
      </c>
      <c r="B80" s="80">
        <v>41830</v>
      </c>
      <c r="C80">
        <v>36500</v>
      </c>
      <c r="D80" s="13">
        <v>4600</v>
      </c>
      <c r="E80" s="97"/>
      <c r="F80">
        <v>36500</v>
      </c>
      <c r="G80" s="13">
        <v>4600</v>
      </c>
      <c r="H80" s="62"/>
    </row>
    <row r="81" spans="1:8" x14ac:dyDescent="0.2">
      <c r="A81">
        <v>78</v>
      </c>
      <c r="B81" s="80">
        <v>41831</v>
      </c>
      <c r="C81">
        <v>36500</v>
      </c>
      <c r="D81" s="13">
        <v>4670</v>
      </c>
      <c r="E81" s="97"/>
      <c r="F81">
        <v>36500</v>
      </c>
      <c r="G81" s="13">
        <v>4670</v>
      </c>
    </row>
    <row r="82" spans="1:8" x14ac:dyDescent="0.2">
      <c r="A82">
        <v>79</v>
      </c>
      <c r="B82" s="80">
        <v>41832</v>
      </c>
      <c r="C82">
        <v>36500</v>
      </c>
      <c r="D82" s="13">
        <v>4740</v>
      </c>
      <c r="E82" s="97"/>
      <c r="F82">
        <v>36500</v>
      </c>
      <c r="G82" s="13">
        <v>4740</v>
      </c>
    </row>
    <row r="83" spans="1:8" x14ac:dyDescent="0.2">
      <c r="A83">
        <v>80</v>
      </c>
      <c r="B83" s="80">
        <v>41833</v>
      </c>
      <c r="C83">
        <v>36500</v>
      </c>
      <c r="D83" s="13">
        <v>4810</v>
      </c>
      <c r="E83" s="97"/>
      <c r="F83">
        <v>36500</v>
      </c>
      <c r="G83" s="13">
        <v>4810</v>
      </c>
    </row>
    <row r="84" spans="1:8" x14ac:dyDescent="0.2">
      <c r="A84">
        <v>81</v>
      </c>
      <c r="B84" s="80">
        <v>41834</v>
      </c>
      <c r="C84">
        <v>36500</v>
      </c>
      <c r="D84" s="13">
        <v>4880</v>
      </c>
      <c r="E84" s="97"/>
      <c r="F84">
        <v>36500</v>
      </c>
      <c r="G84" s="13">
        <v>4880</v>
      </c>
    </row>
    <row r="85" spans="1:8" x14ac:dyDescent="0.2">
      <c r="A85">
        <v>82</v>
      </c>
      <c r="B85" s="80">
        <v>41835</v>
      </c>
      <c r="C85">
        <v>36500</v>
      </c>
      <c r="D85" s="13">
        <v>4950</v>
      </c>
      <c r="E85" s="97">
        <f>SUM(C51:C85)</f>
        <v>1277500</v>
      </c>
      <c r="F85">
        <v>36500</v>
      </c>
      <c r="G85" s="13">
        <v>4950</v>
      </c>
    </row>
    <row r="86" spans="1:8" x14ac:dyDescent="0.2">
      <c r="A86">
        <v>83</v>
      </c>
      <c r="B86" s="80">
        <v>41836</v>
      </c>
      <c r="C86">
        <v>36500</v>
      </c>
      <c r="D86" s="13">
        <v>4950</v>
      </c>
      <c r="E86" s="97"/>
      <c r="F86">
        <v>36500</v>
      </c>
      <c r="G86" s="13">
        <v>4950</v>
      </c>
    </row>
    <row r="87" spans="1:8" x14ac:dyDescent="0.2">
      <c r="A87">
        <v>84</v>
      </c>
      <c r="B87" s="80">
        <v>41837</v>
      </c>
      <c r="C87">
        <v>36500</v>
      </c>
      <c r="D87" s="13">
        <v>4950</v>
      </c>
      <c r="E87" s="97"/>
      <c r="F87">
        <v>36500</v>
      </c>
      <c r="G87" s="13">
        <v>4950</v>
      </c>
    </row>
    <row r="88" spans="1:8" x14ac:dyDescent="0.2">
      <c r="A88">
        <v>85</v>
      </c>
      <c r="B88" s="80">
        <v>41838</v>
      </c>
      <c r="C88">
        <v>36500</v>
      </c>
      <c r="D88" s="13">
        <v>4950</v>
      </c>
      <c r="E88" s="97"/>
      <c r="F88">
        <v>36500</v>
      </c>
      <c r="G88" s="13">
        <v>4950</v>
      </c>
      <c r="H88" s="62"/>
    </row>
    <row r="89" spans="1:8" x14ac:dyDescent="0.2">
      <c r="A89">
        <v>86</v>
      </c>
      <c r="B89" s="80">
        <v>41839</v>
      </c>
      <c r="C89">
        <v>36500</v>
      </c>
      <c r="D89" s="13">
        <v>4950</v>
      </c>
      <c r="E89" s="97"/>
      <c r="F89">
        <v>36500</v>
      </c>
      <c r="G89" s="13">
        <v>4950</v>
      </c>
      <c r="H89" s="62"/>
    </row>
    <row r="90" spans="1:8" x14ac:dyDescent="0.2">
      <c r="A90">
        <v>87</v>
      </c>
      <c r="B90" s="80">
        <v>41840</v>
      </c>
      <c r="C90">
        <v>36500</v>
      </c>
      <c r="D90" s="13">
        <v>4950</v>
      </c>
      <c r="E90" s="97"/>
      <c r="F90">
        <v>36500</v>
      </c>
      <c r="G90" s="13">
        <v>4950</v>
      </c>
      <c r="H90" s="62"/>
    </row>
    <row r="91" spans="1:8" x14ac:dyDescent="0.2">
      <c r="A91">
        <v>88</v>
      </c>
      <c r="B91" s="80">
        <v>41841</v>
      </c>
      <c r="C91">
        <v>36500</v>
      </c>
      <c r="D91" s="13">
        <v>4950</v>
      </c>
      <c r="E91" s="97"/>
      <c r="F91">
        <v>36500</v>
      </c>
      <c r="G91" s="13">
        <v>4950</v>
      </c>
    </row>
    <row r="92" spans="1:8" x14ac:dyDescent="0.2">
      <c r="A92">
        <v>89</v>
      </c>
      <c r="B92" s="80">
        <v>41842</v>
      </c>
      <c r="C92">
        <v>36500</v>
      </c>
      <c r="D92" s="13">
        <v>4950</v>
      </c>
      <c r="E92" s="97"/>
      <c r="F92">
        <v>36500</v>
      </c>
      <c r="G92" s="13">
        <v>4950</v>
      </c>
    </row>
    <row r="93" spans="1:8" x14ac:dyDescent="0.2">
      <c r="A93">
        <v>90</v>
      </c>
      <c r="B93" s="80">
        <v>41843</v>
      </c>
      <c r="C93">
        <v>36500</v>
      </c>
      <c r="D93" s="13">
        <v>4950</v>
      </c>
      <c r="E93" s="97">
        <f>SUM(C86:C93)</f>
        <v>292000</v>
      </c>
      <c r="F93">
        <v>36500</v>
      </c>
      <c r="G93" s="13">
        <v>4950</v>
      </c>
    </row>
    <row r="94" spans="1:8" x14ac:dyDescent="0.2">
      <c r="A94">
        <v>91</v>
      </c>
      <c r="B94" s="80">
        <v>41844</v>
      </c>
      <c r="C94">
        <v>36500</v>
      </c>
      <c r="D94" s="13">
        <v>4965</v>
      </c>
      <c r="E94" s="98"/>
      <c r="F94">
        <v>36500</v>
      </c>
      <c r="G94" s="13">
        <v>4965</v>
      </c>
    </row>
    <row r="95" spans="1:8" x14ac:dyDescent="0.2">
      <c r="A95">
        <v>92</v>
      </c>
      <c r="B95" s="80">
        <v>41845</v>
      </c>
      <c r="C95">
        <v>36500</v>
      </c>
      <c r="D95" s="13">
        <v>4980</v>
      </c>
      <c r="E95" s="98"/>
      <c r="F95">
        <v>36500</v>
      </c>
      <c r="G95" s="13">
        <v>4980</v>
      </c>
      <c r="H95" s="62"/>
    </row>
    <row r="96" spans="1:8" x14ac:dyDescent="0.2">
      <c r="A96">
        <v>93</v>
      </c>
      <c r="B96" s="80">
        <v>41846</v>
      </c>
      <c r="C96">
        <v>36500</v>
      </c>
      <c r="D96" s="13">
        <v>4995</v>
      </c>
      <c r="E96" s="98"/>
      <c r="F96">
        <v>36500</v>
      </c>
      <c r="G96" s="13">
        <v>4995</v>
      </c>
      <c r="H96" s="62"/>
    </row>
    <row r="97" spans="1:8" x14ac:dyDescent="0.2">
      <c r="A97">
        <v>94</v>
      </c>
      <c r="B97" s="80">
        <v>41847</v>
      </c>
      <c r="C97">
        <v>36500</v>
      </c>
      <c r="D97" s="13">
        <v>5010</v>
      </c>
      <c r="E97" s="98"/>
      <c r="F97">
        <v>36500</v>
      </c>
      <c r="G97" s="13">
        <v>5010</v>
      </c>
      <c r="H97" s="62"/>
    </row>
    <row r="98" spans="1:8" x14ac:dyDescent="0.2">
      <c r="A98">
        <v>95</v>
      </c>
      <c r="B98" s="80">
        <v>41848</v>
      </c>
      <c r="C98">
        <v>36500</v>
      </c>
      <c r="D98" s="13">
        <v>5025</v>
      </c>
      <c r="E98" s="98"/>
      <c r="F98">
        <v>36500</v>
      </c>
      <c r="G98" s="13">
        <v>5025</v>
      </c>
      <c r="H98" s="62"/>
    </row>
    <row r="99" spans="1:8" x14ac:dyDescent="0.2">
      <c r="A99">
        <v>96</v>
      </c>
      <c r="B99" s="80">
        <v>41849</v>
      </c>
      <c r="C99">
        <v>36500</v>
      </c>
      <c r="D99" s="13">
        <v>5040</v>
      </c>
      <c r="E99" s="98"/>
      <c r="F99">
        <v>36500</v>
      </c>
      <c r="G99" s="13">
        <v>5040</v>
      </c>
      <c r="H99" s="62"/>
    </row>
    <row r="100" spans="1:8" x14ac:dyDescent="0.2">
      <c r="A100">
        <v>97</v>
      </c>
      <c r="B100" s="80">
        <v>41850</v>
      </c>
      <c r="C100">
        <v>36500</v>
      </c>
      <c r="D100" s="13">
        <v>5055</v>
      </c>
      <c r="E100" s="98"/>
      <c r="F100">
        <v>36500</v>
      </c>
      <c r="G100" s="13">
        <v>5055</v>
      </c>
      <c r="H100" s="62"/>
    </row>
    <row r="101" spans="1:8" x14ac:dyDescent="0.2">
      <c r="A101">
        <v>98</v>
      </c>
      <c r="B101" s="80">
        <v>41851</v>
      </c>
      <c r="C101">
        <v>36500</v>
      </c>
      <c r="D101" s="13">
        <v>5070</v>
      </c>
      <c r="E101" s="98"/>
      <c r="F101">
        <v>36500</v>
      </c>
      <c r="G101" s="13">
        <v>5070</v>
      </c>
      <c r="H101" s="62"/>
    </row>
    <row r="102" spans="1:8" x14ac:dyDescent="0.2">
      <c r="A102">
        <v>99</v>
      </c>
      <c r="B102" s="80">
        <v>41852</v>
      </c>
      <c r="C102">
        <v>36500</v>
      </c>
      <c r="D102" s="13">
        <v>5085</v>
      </c>
      <c r="E102" s="98"/>
      <c r="F102">
        <v>36500</v>
      </c>
      <c r="G102" s="13">
        <v>5085</v>
      </c>
      <c r="H102" s="62"/>
    </row>
    <row r="103" spans="1:8" x14ac:dyDescent="0.2">
      <c r="A103">
        <v>100</v>
      </c>
      <c r="B103" s="80">
        <v>41853</v>
      </c>
      <c r="C103">
        <v>36500</v>
      </c>
      <c r="D103" s="13">
        <v>5100</v>
      </c>
      <c r="E103" s="98"/>
      <c r="F103">
        <v>36500</v>
      </c>
      <c r="G103" s="13">
        <v>5100</v>
      </c>
      <c r="H103" s="62"/>
    </row>
    <row r="104" spans="1:8" x14ac:dyDescent="0.2">
      <c r="A104">
        <v>101</v>
      </c>
      <c r="B104" s="80">
        <v>41854</v>
      </c>
      <c r="C104">
        <v>36500</v>
      </c>
      <c r="D104" s="13">
        <v>5115</v>
      </c>
      <c r="E104" s="98"/>
      <c r="F104">
        <v>36500</v>
      </c>
      <c r="G104" s="13">
        <v>5115</v>
      </c>
      <c r="H104" s="62"/>
    </row>
    <row r="105" spans="1:8" x14ac:dyDescent="0.2">
      <c r="A105">
        <v>102</v>
      </c>
      <c r="B105" s="80">
        <v>41855</v>
      </c>
      <c r="C105">
        <v>36500</v>
      </c>
      <c r="D105" s="13">
        <v>5130</v>
      </c>
      <c r="E105" s="98"/>
      <c r="F105">
        <v>36500</v>
      </c>
      <c r="G105" s="13">
        <v>5130</v>
      </c>
      <c r="H105" s="62"/>
    </row>
    <row r="106" spans="1:8" x14ac:dyDescent="0.2">
      <c r="A106">
        <v>103</v>
      </c>
      <c r="B106" s="80">
        <v>41856</v>
      </c>
      <c r="C106">
        <v>36500</v>
      </c>
      <c r="D106" s="13">
        <v>5145</v>
      </c>
      <c r="E106" s="98"/>
      <c r="F106">
        <v>36500</v>
      </c>
      <c r="G106" s="13">
        <v>5145</v>
      </c>
      <c r="H106" s="81">
        <f>SUM(F52:F106)</f>
        <v>2007500</v>
      </c>
    </row>
    <row r="107" spans="1:8" x14ac:dyDescent="0.2">
      <c r="A107">
        <v>104</v>
      </c>
      <c r="B107" s="80">
        <v>41857</v>
      </c>
      <c r="C107">
        <v>36500</v>
      </c>
      <c r="D107" s="13">
        <v>5160</v>
      </c>
      <c r="E107" s="98"/>
      <c r="F107">
        <v>36500</v>
      </c>
      <c r="G107" s="13">
        <v>5160</v>
      </c>
      <c r="H107" s="62"/>
    </row>
    <row r="108" spans="1:8" x14ac:dyDescent="0.2">
      <c r="A108">
        <v>105</v>
      </c>
      <c r="B108" s="80">
        <v>41858</v>
      </c>
      <c r="C108">
        <v>36500</v>
      </c>
      <c r="D108" s="13">
        <v>5175</v>
      </c>
      <c r="E108" s="98"/>
      <c r="F108">
        <v>36500</v>
      </c>
      <c r="G108" s="13">
        <v>5175</v>
      </c>
      <c r="H108" s="62"/>
    </row>
    <row r="109" spans="1:8" x14ac:dyDescent="0.2">
      <c r="A109">
        <v>106</v>
      </c>
      <c r="B109" s="80">
        <v>41859</v>
      </c>
      <c r="C109">
        <v>36500</v>
      </c>
      <c r="D109" s="13">
        <v>5190</v>
      </c>
      <c r="E109" s="98"/>
      <c r="F109">
        <v>36500</v>
      </c>
      <c r="G109" s="13">
        <v>5190</v>
      </c>
      <c r="H109" s="62"/>
    </row>
    <row r="110" spans="1:8" x14ac:dyDescent="0.2">
      <c r="A110">
        <v>107</v>
      </c>
      <c r="B110" s="80">
        <v>41860</v>
      </c>
      <c r="C110">
        <v>36500</v>
      </c>
      <c r="D110" s="13">
        <v>5205</v>
      </c>
      <c r="E110" s="98"/>
      <c r="F110">
        <v>36500</v>
      </c>
      <c r="G110" s="13">
        <v>5205</v>
      </c>
      <c r="H110" s="62"/>
    </row>
    <row r="111" spans="1:8" x14ac:dyDescent="0.2">
      <c r="A111">
        <v>108</v>
      </c>
      <c r="B111" s="80">
        <v>41861</v>
      </c>
      <c r="C111">
        <v>36500</v>
      </c>
      <c r="D111" s="13">
        <v>5220</v>
      </c>
      <c r="E111" s="98"/>
      <c r="F111">
        <v>36500</v>
      </c>
      <c r="G111" s="13">
        <v>5220</v>
      </c>
      <c r="H111" s="62"/>
    </row>
    <row r="112" spans="1:8" x14ac:dyDescent="0.2">
      <c r="A112">
        <v>109</v>
      </c>
      <c r="B112" s="80">
        <v>41862</v>
      </c>
      <c r="C112">
        <v>36500</v>
      </c>
      <c r="D112" s="13">
        <v>5235</v>
      </c>
      <c r="E112" s="98"/>
      <c r="F112">
        <v>36500</v>
      </c>
      <c r="G112" s="13">
        <v>5235</v>
      </c>
      <c r="H112" s="62"/>
    </row>
    <row r="113" spans="1:8" x14ac:dyDescent="0.2">
      <c r="A113">
        <v>110</v>
      </c>
      <c r="B113" s="80">
        <v>41863</v>
      </c>
      <c r="C113">
        <v>36500</v>
      </c>
      <c r="D113">
        <v>5250</v>
      </c>
      <c r="E113" s="98"/>
      <c r="F113">
        <v>36500</v>
      </c>
      <c r="G113">
        <v>5250</v>
      </c>
    </row>
    <row r="114" spans="1:8" x14ac:dyDescent="0.2">
      <c r="A114">
        <v>111</v>
      </c>
      <c r="B114" s="80">
        <v>41864</v>
      </c>
      <c r="C114">
        <v>36500</v>
      </c>
      <c r="D114">
        <v>5265</v>
      </c>
      <c r="E114" s="98"/>
      <c r="F114">
        <v>36500</v>
      </c>
      <c r="G114">
        <v>5265</v>
      </c>
      <c r="H114" s="87"/>
    </row>
    <row r="115" spans="1:8" x14ac:dyDescent="0.2">
      <c r="A115">
        <v>112</v>
      </c>
      <c r="B115" s="80">
        <v>41865</v>
      </c>
      <c r="C115">
        <v>36500</v>
      </c>
      <c r="D115">
        <v>5280</v>
      </c>
      <c r="E115" s="98"/>
      <c r="F115">
        <v>36500</v>
      </c>
      <c r="G115">
        <v>5280</v>
      </c>
      <c r="H115" s="87"/>
    </row>
    <row r="116" spans="1:8" x14ac:dyDescent="0.2">
      <c r="A116">
        <v>113</v>
      </c>
      <c r="B116" s="80">
        <v>41866</v>
      </c>
      <c r="C116">
        <v>36500</v>
      </c>
      <c r="D116">
        <v>5295</v>
      </c>
      <c r="E116" s="98"/>
      <c r="F116">
        <v>36500</v>
      </c>
      <c r="G116">
        <v>5295</v>
      </c>
      <c r="H116" s="81">
        <f>SUM(F107:F116)</f>
        <v>365000</v>
      </c>
    </row>
    <row r="117" spans="1:8" x14ac:dyDescent="0.2">
      <c r="A117">
        <v>114</v>
      </c>
      <c r="B117" s="80">
        <v>41867</v>
      </c>
      <c r="C117">
        <v>36500</v>
      </c>
      <c r="D117">
        <v>5310</v>
      </c>
      <c r="E117" s="98"/>
      <c r="F117">
        <v>36500</v>
      </c>
      <c r="G117">
        <v>5310</v>
      </c>
      <c r="H117" s="81"/>
    </row>
    <row r="118" spans="1:8" x14ac:dyDescent="0.2">
      <c r="A118">
        <v>115</v>
      </c>
      <c r="B118" s="80">
        <v>41868</v>
      </c>
      <c r="C118">
        <v>36500</v>
      </c>
      <c r="D118">
        <v>5325</v>
      </c>
      <c r="E118" s="98"/>
      <c r="F118">
        <v>36500</v>
      </c>
      <c r="G118">
        <v>5325</v>
      </c>
      <c r="H118" s="81"/>
    </row>
    <row r="119" spans="1:8" x14ac:dyDescent="0.2">
      <c r="A119">
        <v>116</v>
      </c>
      <c r="B119" s="80">
        <v>41869</v>
      </c>
      <c r="C119">
        <v>36500</v>
      </c>
      <c r="D119">
        <v>5340</v>
      </c>
      <c r="E119" s="98"/>
      <c r="F119">
        <v>36500</v>
      </c>
      <c r="G119">
        <v>5340</v>
      </c>
      <c r="H119" s="81"/>
    </row>
    <row r="120" spans="1:8" x14ac:dyDescent="0.2">
      <c r="A120">
        <v>117</v>
      </c>
      <c r="B120" s="80">
        <v>41870</v>
      </c>
      <c r="C120">
        <v>36500</v>
      </c>
      <c r="D120">
        <v>5355</v>
      </c>
      <c r="E120" s="98"/>
      <c r="F120">
        <v>36500</v>
      </c>
      <c r="G120">
        <v>5355</v>
      </c>
      <c r="H120" s="81"/>
    </row>
    <row r="121" spans="1:8" x14ac:dyDescent="0.2">
      <c r="A121">
        <v>118</v>
      </c>
      <c r="B121" s="80">
        <v>41871</v>
      </c>
      <c r="C121">
        <v>36500</v>
      </c>
      <c r="D121">
        <v>5370</v>
      </c>
      <c r="E121" s="98"/>
      <c r="F121">
        <v>36500</v>
      </c>
      <c r="G121">
        <v>5370</v>
      </c>
      <c r="H121" s="81"/>
    </row>
    <row r="122" spans="1:8" x14ac:dyDescent="0.2">
      <c r="A122">
        <v>119</v>
      </c>
      <c r="B122" s="80">
        <v>41872</v>
      </c>
      <c r="C122">
        <v>36500</v>
      </c>
      <c r="D122">
        <v>5385</v>
      </c>
      <c r="E122" s="98"/>
      <c r="F122">
        <v>36500</v>
      </c>
      <c r="G122">
        <v>5385</v>
      </c>
      <c r="H122" s="81"/>
    </row>
    <row r="123" spans="1:8" x14ac:dyDescent="0.2">
      <c r="A123">
        <v>120</v>
      </c>
      <c r="B123" s="80">
        <v>41873</v>
      </c>
      <c r="C123">
        <v>36500</v>
      </c>
      <c r="D123">
        <v>5400</v>
      </c>
      <c r="E123" s="98"/>
      <c r="F123">
        <v>36500</v>
      </c>
      <c r="G123">
        <v>5400</v>
      </c>
      <c r="H123" s="81"/>
    </row>
    <row r="124" spans="1:8" x14ac:dyDescent="0.2">
      <c r="A124">
        <v>121</v>
      </c>
      <c r="B124" s="80">
        <v>41874</v>
      </c>
      <c r="C124">
        <v>36500</v>
      </c>
      <c r="D124">
        <v>5415</v>
      </c>
      <c r="E124" s="98"/>
      <c r="F124">
        <v>36500</v>
      </c>
      <c r="G124">
        <v>5415</v>
      </c>
      <c r="H124" s="81"/>
    </row>
    <row r="125" spans="1:8" x14ac:dyDescent="0.2">
      <c r="A125">
        <v>122</v>
      </c>
      <c r="B125" s="80">
        <v>41875</v>
      </c>
      <c r="C125">
        <v>36500</v>
      </c>
      <c r="D125">
        <v>5430</v>
      </c>
      <c r="E125" s="98"/>
      <c r="F125">
        <v>36500</v>
      </c>
      <c r="G125">
        <v>5430</v>
      </c>
      <c r="H125" s="81"/>
    </row>
    <row r="126" spans="1:8" x14ac:dyDescent="0.2">
      <c r="A126">
        <v>123</v>
      </c>
      <c r="B126" s="80">
        <v>41876</v>
      </c>
      <c r="C126">
        <v>36500</v>
      </c>
      <c r="D126">
        <v>5445</v>
      </c>
      <c r="E126" s="98"/>
      <c r="F126">
        <v>36500</v>
      </c>
      <c r="G126">
        <v>5445</v>
      </c>
      <c r="H126" s="81"/>
    </row>
    <row r="127" spans="1:8" x14ac:dyDescent="0.2">
      <c r="A127">
        <v>124</v>
      </c>
      <c r="B127" s="80">
        <v>41877</v>
      </c>
      <c r="C127">
        <v>36500</v>
      </c>
      <c r="D127">
        <v>5460</v>
      </c>
      <c r="E127" s="98"/>
      <c r="F127">
        <v>36500</v>
      </c>
      <c r="G127">
        <v>5460</v>
      </c>
      <c r="H127" s="81"/>
    </row>
    <row r="128" spans="1:8" x14ac:dyDescent="0.2">
      <c r="A128">
        <v>125</v>
      </c>
      <c r="B128" s="80">
        <v>41878</v>
      </c>
      <c r="C128">
        <v>36500</v>
      </c>
      <c r="D128">
        <v>5475</v>
      </c>
      <c r="E128" s="98"/>
      <c r="F128">
        <v>36500</v>
      </c>
      <c r="G128">
        <v>5475</v>
      </c>
      <c r="H128" s="81"/>
    </row>
    <row r="129" spans="1:8" x14ac:dyDescent="0.2">
      <c r="A129">
        <v>126</v>
      </c>
      <c r="B129" s="80">
        <v>41879</v>
      </c>
      <c r="C129">
        <v>36500</v>
      </c>
      <c r="D129">
        <v>5490</v>
      </c>
      <c r="E129" s="98"/>
      <c r="F129">
        <v>36500</v>
      </c>
      <c r="G129">
        <v>5490</v>
      </c>
      <c r="H129" s="81"/>
    </row>
    <row r="130" spans="1:8" x14ac:dyDescent="0.2">
      <c r="A130">
        <v>127</v>
      </c>
      <c r="B130" s="80">
        <v>41880</v>
      </c>
      <c r="C130">
        <v>36500</v>
      </c>
      <c r="D130">
        <v>5505</v>
      </c>
      <c r="E130" s="98"/>
      <c r="F130">
        <v>36500</v>
      </c>
      <c r="G130">
        <v>5505</v>
      </c>
      <c r="H130" s="81"/>
    </row>
    <row r="131" spans="1:8" x14ac:dyDescent="0.2">
      <c r="A131">
        <v>128</v>
      </c>
      <c r="B131" s="80">
        <v>41881</v>
      </c>
      <c r="C131">
        <v>36500</v>
      </c>
      <c r="D131">
        <v>5520</v>
      </c>
      <c r="E131" s="98"/>
      <c r="F131">
        <v>36500</v>
      </c>
      <c r="G131">
        <v>5520</v>
      </c>
      <c r="H131" s="81"/>
    </row>
    <row r="132" spans="1:8" x14ac:dyDescent="0.2">
      <c r="A132">
        <v>129</v>
      </c>
      <c r="B132" s="80">
        <v>41882</v>
      </c>
      <c r="C132">
        <v>36500</v>
      </c>
      <c r="D132">
        <v>5535</v>
      </c>
      <c r="E132" s="98"/>
      <c r="F132">
        <v>36500</v>
      </c>
      <c r="G132">
        <v>5535</v>
      </c>
      <c r="H132" s="81"/>
    </row>
    <row r="133" spans="1:8" x14ac:dyDescent="0.2">
      <c r="A133">
        <v>130</v>
      </c>
      <c r="B133" s="80">
        <v>41883</v>
      </c>
      <c r="C133">
        <v>36500</v>
      </c>
      <c r="D133">
        <v>5550</v>
      </c>
      <c r="E133" s="98">
        <f>SUM(C94:C133)</f>
        <v>1460000</v>
      </c>
      <c r="F133">
        <v>36500</v>
      </c>
      <c r="G133">
        <v>5550</v>
      </c>
      <c r="H133" s="81"/>
    </row>
    <row r="134" spans="1:8" x14ac:dyDescent="0.2">
      <c r="A134">
        <v>131</v>
      </c>
      <c r="B134" s="80">
        <v>41884</v>
      </c>
      <c r="C134">
        <v>36500</v>
      </c>
      <c r="D134">
        <v>5550</v>
      </c>
      <c r="E134" s="98"/>
      <c r="F134">
        <v>36500</v>
      </c>
      <c r="G134">
        <v>5550</v>
      </c>
      <c r="H134" s="81"/>
    </row>
    <row r="135" spans="1:8" x14ac:dyDescent="0.2">
      <c r="A135">
        <v>132</v>
      </c>
      <c r="B135" s="80">
        <v>41885</v>
      </c>
      <c r="C135">
        <v>36500</v>
      </c>
      <c r="D135">
        <v>5550</v>
      </c>
      <c r="E135" s="98"/>
      <c r="F135">
        <v>36500</v>
      </c>
      <c r="G135">
        <v>5550</v>
      </c>
      <c r="H135" s="81"/>
    </row>
    <row r="136" spans="1:8" x14ac:dyDescent="0.2">
      <c r="A136">
        <v>133</v>
      </c>
      <c r="B136" s="80">
        <v>41886</v>
      </c>
      <c r="C136">
        <v>36500</v>
      </c>
      <c r="D136">
        <v>5550</v>
      </c>
      <c r="E136" s="98"/>
      <c r="F136">
        <v>36500</v>
      </c>
      <c r="G136">
        <v>5550</v>
      </c>
      <c r="H136" s="81"/>
    </row>
    <row r="137" spans="1:8" x14ac:dyDescent="0.2">
      <c r="A137">
        <v>134</v>
      </c>
      <c r="B137" s="80">
        <v>41887</v>
      </c>
      <c r="C137">
        <v>36500</v>
      </c>
      <c r="D137">
        <v>5550</v>
      </c>
      <c r="E137" s="98"/>
      <c r="F137">
        <v>36500</v>
      </c>
      <c r="G137">
        <v>5550</v>
      </c>
      <c r="H137" s="81"/>
    </row>
    <row r="138" spans="1:8" x14ac:dyDescent="0.2">
      <c r="A138">
        <v>135</v>
      </c>
      <c r="B138" s="80">
        <v>41888</v>
      </c>
      <c r="C138">
        <v>36500</v>
      </c>
      <c r="D138">
        <v>5550</v>
      </c>
      <c r="E138" s="98"/>
      <c r="F138">
        <v>36500</v>
      </c>
      <c r="G138">
        <v>5550</v>
      </c>
      <c r="H138" s="81"/>
    </row>
    <row r="139" spans="1:8" x14ac:dyDescent="0.2">
      <c r="A139">
        <v>136</v>
      </c>
      <c r="B139" s="80">
        <v>41889</v>
      </c>
      <c r="C139">
        <v>36500</v>
      </c>
      <c r="D139">
        <v>5550</v>
      </c>
      <c r="E139" s="98"/>
      <c r="F139">
        <v>36500</v>
      </c>
      <c r="G139">
        <v>5550</v>
      </c>
      <c r="H139" s="81"/>
    </row>
    <row r="140" spans="1:8" x14ac:dyDescent="0.2">
      <c r="A140">
        <v>137</v>
      </c>
      <c r="B140" s="80">
        <v>41890</v>
      </c>
      <c r="C140">
        <v>36500</v>
      </c>
      <c r="D140">
        <v>5550</v>
      </c>
      <c r="E140" s="98"/>
      <c r="F140">
        <v>36500</v>
      </c>
      <c r="G140">
        <v>5550</v>
      </c>
      <c r="H140" s="81"/>
    </row>
    <row r="141" spans="1:8" x14ac:dyDescent="0.2">
      <c r="A141">
        <v>138</v>
      </c>
      <c r="B141" s="80">
        <v>41891</v>
      </c>
      <c r="C141">
        <v>36500</v>
      </c>
      <c r="D141">
        <v>5550</v>
      </c>
      <c r="E141" s="98"/>
      <c r="F141">
        <v>36500</v>
      </c>
      <c r="G141">
        <v>5550</v>
      </c>
      <c r="H141" s="81"/>
    </row>
    <row r="142" spans="1:8" x14ac:dyDescent="0.2">
      <c r="A142">
        <v>139</v>
      </c>
      <c r="B142" s="80">
        <v>41892</v>
      </c>
      <c r="C142">
        <v>36500</v>
      </c>
      <c r="D142">
        <v>5550</v>
      </c>
      <c r="E142" s="98"/>
      <c r="F142">
        <v>36500</v>
      </c>
      <c r="G142">
        <v>5550</v>
      </c>
      <c r="H142" s="81"/>
    </row>
    <row r="143" spans="1:8" x14ac:dyDescent="0.2">
      <c r="A143">
        <v>140</v>
      </c>
      <c r="B143" s="80">
        <v>41893</v>
      </c>
      <c r="C143">
        <v>36500</v>
      </c>
      <c r="D143">
        <v>5550</v>
      </c>
      <c r="E143" s="98"/>
      <c r="F143">
        <v>36500</v>
      </c>
      <c r="G143">
        <v>5550</v>
      </c>
      <c r="H143" s="81"/>
    </row>
    <row r="144" spans="1:8" x14ac:dyDescent="0.2">
      <c r="A144">
        <v>141</v>
      </c>
      <c r="B144" s="80">
        <v>41894</v>
      </c>
      <c r="C144">
        <v>36500</v>
      </c>
      <c r="D144">
        <v>5550</v>
      </c>
      <c r="E144" s="98"/>
      <c r="F144">
        <v>36500</v>
      </c>
      <c r="G144">
        <v>5550</v>
      </c>
      <c r="H144" s="81"/>
    </row>
    <row r="145" spans="1:8" x14ac:dyDescent="0.2">
      <c r="A145">
        <v>142</v>
      </c>
      <c r="B145" s="80">
        <v>41895</v>
      </c>
      <c r="C145">
        <v>36500</v>
      </c>
      <c r="D145">
        <v>5550</v>
      </c>
      <c r="E145" s="98"/>
      <c r="F145">
        <v>36500</v>
      </c>
      <c r="G145">
        <v>5550</v>
      </c>
      <c r="H145" s="81"/>
    </row>
    <row r="146" spans="1:8" x14ac:dyDescent="0.2">
      <c r="A146">
        <v>143</v>
      </c>
      <c r="B146" s="80">
        <v>41896</v>
      </c>
      <c r="C146">
        <v>36500</v>
      </c>
      <c r="D146">
        <v>5550</v>
      </c>
      <c r="E146" s="98"/>
      <c r="F146">
        <v>36500</v>
      </c>
      <c r="G146">
        <v>5550</v>
      </c>
      <c r="H146" s="81"/>
    </row>
    <row r="147" spans="1:8" x14ac:dyDescent="0.2">
      <c r="A147">
        <v>144</v>
      </c>
      <c r="B147" s="80">
        <v>41897</v>
      </c>
      <c r="C147">
        <v>36500</v>
      </c>
      <c r="D147">
        <v>5550</v>
      </c>
      <c r="E147" s="98"/>
      <c r="F147">
        <v>36500</v>
      </c>
      <c r="G147">
        <v>5550</v>
      </c>
      <c r="H147" s="81"/>
    </row>
    <row r="148" spans="1:8" x14ac:dyDescent="0.2">
      <c r="A148">
        <v>145</v>
      </c>
      <c r="B148" s="80">
        <v>41898</v>
      </c>
      <c r="C148">
        <v>36500</v>
      </c>
      <c r="D148">
        <v>5550</v>
      </c>
      <c r="E148" s="98">
        <f>SUM(C134:C148)</f>
        <v>547500</v>
      </c>
      <c r="F148">
        <v>36500</v>
      </c>
      <c r="G148">
        <v>5550</v>
      </c>
      <c r="H148" s="81"/>
    </row>
    <row r="149" spans="1:8" ht="15" x14ac:dyDescent="0.25">
      <c r="A149" s="63" t="s">
        <v>11</v>
      </c>
      <c r="B149" s="63"/>
      <c r="C149" s="91">
        <f>SUM(C4:C148)</f>
        <v>5292500</v>
      </c>
      <c r="D149" s="5"/>
      <c r="E149" s="5">
        <f>SUM(E4:E148)</f>
        <v>5292500</v>
      </c>
      <c r="F149" s="91"/>
      <c r="G149" s="5"/>
      <c r="H149" s="5">
        <f>SUM(H4:H116)</f>
        <v>4105767</v>
      </c>
    </row>
    <row r="150" spans="1:8" x14ac:dyDescent="0.2">
      <c r="F150" s="59"/>
    </row>
    <row r="151" spans="1:8" x14ac:dyDescent="0.2">
      <c r="F151" s="59"/>
    </row>
    <row r="152" spans="1:8" x14ac:dyDescent="0.2">
      <c r="F152" s="59"/>
    </row>
    <row r="153" spans="1:8" x14ac:dyDescent="0.2">
      <c r="F153" s="59"/>
    </row>
    <row r="154" spans="1:8" x14ac:dyDescent="0.2">
      <c r="F154" s="59"/>
    </row>
    <row r="155" spans="1:8" x14ac:dyDescent="0.2">
      <c r="F155" s="59"/>
    </row>
    <row r="156" spans="1:8" x14ac:dyDescent="0.2">
      <c r="F156" s="59"/>
    </row>
  </sheetData>
  <mergeCells count="2">
    <mergeCell ref="C2:G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I154"/>
  <sheetViews>
    <sheetView zoomScaleNormal="65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B18" sqref="B18"/>
    </sheetView>
  </sheetViews>
  <sheetFormatPr defaultRowHeight="15" x14ac:dyDescent="0.2"/>
  <cols>
    <col min="1" max="1" width="7.140625" style="12" customWidth="1"/>
    <col min="2" max="2" width="17.42578125" style="12" customWidth="1"/>
    <col min="3" max="4" width="9.140625" style="12"/>
    <col min="5" max="5" width="60.42578125" style="12" customWidth="1"/>
    <col min="6" max="6" width="9.140625" style="12"/>
    <col min="7" max="9" width="12.42578125" style="12" customWidth="1"/>
    <col min="10" max="16384" width="9.140625" style="12"/>
  </cols>
  <sheetData>
    <row r="1" spans="1:9" ht="16.5" thickBot="1" x14ac:dyDescent="0.3">
      <c r="A1" s="31" t="s">
        <v>10</v>
      </c>
      <c r="B1" s="56" t="s">
        <v>196</v>
      </c>
      <c r="D1" s="121" t="s">
        <v>50</v>
      </c>
      <c r="E1" s="121"/>
      <c r="F1" s="121"/>
      <c r="G1" s="121"/>
      <c r="H1" s="121"/>
      <c r="I1" s="121"/>
    </row>
    <row r="2" spans="1:9" s="11" customFormat="1" ht="16.5" thickBot="1" x14ac:dyDescent="0.3">
      <c r="A2" s="32" t="s">
        <v>0</v>
      </c>
      <c r="B2" s="57" t="s">
        <v>197</v>
      </c>
    </row>
    <row r="3" spans="1:9" x14ac:dyDescent="0.2">
      <c r="A3" s="33">
        <v>1</v>
      </c>
      <c r="B3">
        <v>20</v>
      </c>
      <c r="D3" s="115" t="s">
        <v>51</v>
      </c>
      <c r="E3" s="117" t="s">
        <v>32</v>
      </c>
      <c r="F3" s="46" t="s">
        <v>52</v>
      </c>
      <c r="G3" s="46" t="s">
        <v>53</v>
      </c>
      <c r="H3" s="47" t="s">
        <v>54</v>
      </c>
      <c r="I3" s="48" t="s">
        <v>55</v>
      </c>
    </row>
    <row r="4" spans="1:9" x14ac:dyDescent="0.2">
      <c r="A4" s="33">
        <v>2</v>
      </c>
      <c r="B4">
        <v>20</v>
      </c>
      <c r="D4" s="116"/>
      <c r="E4" s="118"/>
      <c r="F4" s="44" t="s">
        <v>56</v>
      </c>
      <c r="G4" s="44" t="s">
        <v>57</v>
      </c>
      <c r="H4" s="45" t="s">
        <v>58</v>
      </c>
      <c r="I4" s="49" t="s">
        <v>59</v>
      </c>
    </row>
    <row r="5" spans="1:9" x14ac:dyDescent="0.2">
      <c r="A5" s="33">
        <f>A4+1</f>
        <v>3</v>
      </c>
      <c r="B5">
        <v>20</v>
      </c>
      <c r="D5" s="116" t="s">
        <v>60</v>
      </c>
      <c r="E5" s="118" t="s">
        <v>61</v>
      </c>
      <c r="F5" s="44" t="s">
        <v>62</v>
      </c>
      <c r="G5" s="44" t="s">
        <v>63</v>
      </c>
      <c r="H5" s="45" t="s">
        <v>64</v>
      </c>
      <c r="I5" s="49" t="s">
        <v>65</v>
      </c>
    </row>
    <row r="6" spans="1:9" ht="15.75" thickBot="1" x14ac:dyDescent="0.25">
      <c r="A6" s="33">
        <f t="shared" ref="A6:A69" si="0">A5+1</f>
        <v>4</v>
      </c>
      <c r="B6">
        <v>20</v>
      </c>
      <c r="D6" s="119"/>
      <c r="E6" s="120"/>
      <c r="F6" s="51" t="s">
        <v>66</v>
      </c>
      <c r="G6" s="51" t="s">
        <v>66</v>
      </c>
      <c r="H6" s="52" t="s">
        <v>67</v>
      </c>
      <c r="I6" s="53" t="s">
        <v>68</v>
      </c>
    </row>
    <row r="7" spans="1:9" ht="15.75" thickBot="1" x14ac:dyDescent="0.25">
      <c r="A7" s="34">
        <f t="shared" si="0"/>
        <v>5</v>
      </c>
      <c r="B7">
        <v>56</v>
      </c>
      <c r="D7" s="122">
        <v>1</v>
      </c>
      <c r="E7" s="54" t="s">
        <v>69</v>
      </c>
      <c r="F7" s="107"/>
      <c r="G7" s="107"/>
      <c r="H7" s="113"/>
      <c r="I7" s="112"/>
    </row>
    <row r="8" spans="1:9" x14ac:dyDescent="0.2">
      <c r="A8" s="33">
        <f t="shared" si="0"/>
        <v>6</v>
      </c>
      <c r="B8">
        <v>92</v>
      </c>
      <c r="D8" s="104"/>
      <c r="E8" s="43" t="s">
        <v>70</v>
      </c>
      <c r="F8" s="108"/>
      <c r="G8" s="108"/>
      <c r="H8" s="110"/>
      <c r="I8" s="114"/>
    </row>
    <row r="9" spans="1:9" ht="15.75" thickBot="1" x14ac:dyDescent="0.25">
      <c r="A9" s="33">
        <f t="shared" si="0"/>
        <v>7</v>
      </c>
      <c r="B9">
        <v>128</v>
      </c>
      <c r="D9" s="104">
        <v>2</v>
      </c>
      <c r="E9" s="39" t="s">
        <v>71</v>
      </c>
      <c r="F9" s="108"/>
      <c r="G9" s="108"/>
      <c r="H9" s="109"/>
      <c r="I9" s="114"/>
    </row>
    <row r="10" spans="1:9" x14ac:dyDescent="0.2">
      <c r="A10" s="33">
        <f t="shared" si="0"/>
        <v>8</v>
      </c>
      <c r="B10">
        <v>164</v>
      </c>
      <c r="D10" s="104"/>
      <c r="E10" s="39" t="s">
        <v>72</v>
      </c>
      <c r="F10" s="108"/>
      <c r="G10" s="108"/>
      <c r="H10" s="110"/>
      <c r="I10" s="114"/>
    </row>
    <row r="11" spans="1:9" ht="15.75" thickBot="1" x14ac:dyDescent="0.25">
      <c r="A11" s="33">
        <f t="shared" si="0"/>
        <v>9</v>
      </c>
      <c r="B11">
        <v>200</v>
      </c>
      <c r="D11" s="104">
        <v>3</v>
      </c>
      <c r="E11" s="39" t="s">
        <v>33</v>
      </c>
      <c r="F11" s="108"/>
      <c r="G11" s="108"/>
      <c r="H11" s="109"/>
      <c r="I11" s="114"/>
    </row>
    <row r="12" spans="1:9" x14ac:dyDescent="0.2">
      <c r="A12" s="34">
        <f t="shared" si="0"/>
        <v>10</v>
      </c>
      <c r="B12">
        <v>200</v>
      </c>
      <c r="D12" s="104"/>
      <c r="E12" s="39" t="s">
        <v>73</v>
      </c>
      <c r="F12" s="108"/>
      <c r="G12" s="108"/>
      <c r="H12" s="110"/>
      <c r="I12" s="114"/>
    </row>
    <row r="13" spans="1:9" ht="15.75" thickBot="1" x14ac:dyDescent="0.25">
      <c r="A13" s="33">
        <f t="shared" si="0"/>
        <v>11</v>
      </c>
      <c r="B13">
        <v>200</v>
      </c>
      <c r="D13" s="104">
        <v>4</v>
      </c>
      <c r="E13" s="39" t="s">
        <v>74</v>
      </c>
      <c r="F13" s="106"/>
      <c r="G13" s="108"/>
      <c r="H13" s="109"/>
      <c r="I13" s="111"/>
    </row>
    <row r="14" spans="1:9" x14ac:dyDescent="0.2">
      <c r="A14" s="33">
        <f t="shared" si="0"/>
        <v>12</v>
      </c>
      <c r="B14">
        <v>200</v>
      </c>
      <c r="D14" s="104"/>
      <c r="E14" s="39" t="s">
        <v>75</v>
      </c>
      <c r="F14" s="107"/>
      <c r="G14" s="108"/>
      <c r="H14" s="110"/>
      <c r="I14" s="112"/>
    </row>
    <row r="15" spans="1:9" ht="15.75" thickBot="1" x14ac:dyDescent="0.25">
      <c r="A15" s="33">
        <f t="shared" si="0"/>
        <v>13</v>
      </c>
      <c r="B15">
        <v>200</v>
      </c>
      <c r="D15" s="104">
        <v>5</v>
      </c>
      <c r="E15" s="39" t="s">
        <v>76</v>
      </c>
      <c r="F15" s="106"/>
      <c r="G15" s="108"/>
      <c r="H15" s="109"/>
      <c r="I15" s="111"/>
    </row>
    <row r="16" spans="1:9" x14ac:dyDescent="0.2">
      <c r="A16" s="33">
        <f t="shared" si="0"/>
        <v>14</v>
      </c>
      <c r="B16">
        <v>200</v>
      </c>
      <c r="D16" s="104"/>
      <c r="E16" s="39" t="s">
        <v>77</v>
      </c>
      <c r="F16" s="107"/>
      <c r="G16" s="108"/>
      <c r="H16" s="110"/>
      <c r="I16" s="112"/>
    </row>
    <row r="17" spans="1:9" ht="15.75" thickBot="1" x14ac:dyDescent="0.25">
      <c r="A17" s="34">
        <f t="shared" si="0"/>
        <v>15</v>
      </c>
      <c r="B17">
        <v>200</v>
      </c>
      <c r="D17" s="104">
        <v>6</v>
      </c>
      <c r="E17" s="39" t="s">
        <v>34</v>
      </c>
      <c r="F17" s="106"/>
      <c r="G17" s="108"/>
      <c r="H17" s="109"/>
      <c r="I17" s="111"/>
    </row>
    <row r="18" spans="1:9" x14ac:dyDescent="0.2">
      <c r="A18" s="33">
        <f t="shared" si="0"/>
        <v>16</v>
      </c>
      <c r="B18" s="13">
        <v>292</v>
      </c>
      <c r="D18" s="104"/>
      <c r="E18" s="39" t="s">
        <v>78</v>
      </c>
      <c r="F18" s="107"/>
      <c r="G18" s="108"/>
      <c r="H18" s="110"/>
      <c r="I18" s="112"/>
    </row>
    <row r="19" spans="1:9" ht="15.75" thickBot="1" x14ac:dyDescent="0.25">
      <c r="A19" s="33">
        <f t="shared" si="0"/>
        <v>17</v>
      </c>
      <c r="B19" s="13">
        <v>384</v>
      </c>
      <c r="D19" s="104">
        <v>7</v>
      </c>
      <c r="E19" s="39" t="s">
        <v>35</v>
      </c>
      <c r="F19" s="106"/>
      <c r="G19" s="108"/>
      <c r="H19" s="109"/>
      <c r="I19" s="111"/>
    </row>
    <row r="20" spans="1:9" x14ac:dyDescent="0.2">
      <c r="A20" s="33">
        <f t="shared" si="0"/>
        <v>18</v>
      </c>
      <c r="B20" s="13">
        <v>476</v>
      </c>
      <c r="D20" s="104"/>
      <c r="E20" s="40" t="s">
        <v>79</v>
      </c>
      <c r="F20" s="107"/>
      <c r="G20" s="108"/>
      <c r="H20" s="110"/>
      <c r="I20" s="112"/>
    </row>
    <row r="21" spans="1:9" ht="15.75" thickBot="1" x14ac:dyDescent="0.25">
      <c r="A21" s="33">
        <f t="shared" si="0"/>
        <v>19</v>
      </c>
      <c r="B21" s="13">
        <v>568</v>
      </c>
      <c r="D21" s="104">
        <v>8</v>
      </c>
      <c r="E21" s="39" t="s">
        <v>80</v>
      </c>
      <c r="F21" s="106"/>
      <c r="G21" s="108"/>
      <c r="H21" s="109"/>
      <c r="I21" s="111"/>
    </row>
    <row r="22" spans="1:9" x14ac:dyDescent="0.2">
      <c r="A22" s="34">
        <f t="shared" si="0"/>
        <v>20</v>
      </c>
      <c r="B22" s="13">
        <v>660</v>
      </c>
      <c r="D22" s="104"/>
      <c r="E22" s="40" t="s">
        <v>81</v>
      </c>
      <c r="F22" s="107"/>
      <c r="G22" s="108"/>
      <c r="H22" s="110"/>
      <c r="I22" s="112"/>
    </row>
    <row r="23" spans="1:9" ht="15.75" thickBot="1" x14ac:dyDescent="0.25">
      <c r="A23" s="33">
        <f t="shared" si="0"/>
        <v>21</v>
      </c>
      <c r="B23" s="13">
        <v>752</v>
      </c>
      <c r="D23" s="104">
        <v>9</v>
      </c>
      <c r="E23" s="39" t="s">
        <v>36</v>
      </c>
      <c r="F23" s="106"/>
      <c r="G23" s="108"/>
      <c r="H23" s="109"/>
      <c r="I23" s="111"/>
    </row>
    <row r="24" spans="1:9" x14ac:dyDescent="0.2">
      <c r="A24" s="33">
        <f t="shared" si="0"/>
        <v>22</v>
      </c>
      <c r="B24" s="13">
        <v>844</v>
      </c>
      <c r="D24" s="104"/>
      <c r="E24" s="39" t="s">
        <v>82</v>
      </c>
      <c r="F24" s="107"/>
      <c r="G24" s="108"/>
      <c r="H24" s="110"/>
      <c r="I24" s="112"/>
    </row>
    <row r="25" spans="1:9" ht="15.75" thickBot="1" x14ac:dyDescent="0.25">
      <c r="A25" s="33">
        <f t="shared" si="0"/>
        <v>23</v>
      </c>
      <c r="B25" s="13">
        <v>936</v>
      </c>
      <c r="D25" s="104">
        <v>10</v>
      </c>
      <c r="E25" s="39" t="s">
        <v>37</v>
      </c>
      <c r="F25" s="106"/>
      <c r="G25" s="108"/>
      <c r="H25" s="109"/>
      <c r="I25" s="111"/>
    </row>
    <row r="26" spans="1:9" x14ac:dyDescent="0.2">
      <c r="A26" s="33">
        <f t="shared" si="0"/>
        <v>24</v>
      </c>
      <c r="B26" s="13">
        <v>1028</v>
      </c>
      <c r="D26" s="104"/>
      <c r="E26" s="39" t="s">
        <v>83</v>
      </c>
      <c r="F26" s="107"/>
      <c r="G26" s="108"/>
      <c r="H26" s="110"/>
      <c r="I26" s="112"/>
    </row>
    <row r="27" spans="1:9" ht="15.75" thickBot="1" x14ac:dyDescent="0.25">
      <c r="A27" s="34">
        <f t="shared" si="0"/>
        <v>25</v>
      </c>
      <c r="B27" s="13">
        <v>1120</v>
      </c>
      <c r="D27" s="104">
        <v>11</v>
      </c>
      <c r="E27" s="39" t="s">
        <v>38</v>
      </c>
      <c r="F27" s="106"/>
      <c r="G27" s="108"/>
      <c r="H27" s="109"/>
      <c r="I27" s="111"/>
    </row>
    <row r="28" spans="1:9" x14ac:dyDescent="0.2">
      <c r="A28" s="33">
        <f t="shared" si="0"/>
        <v>26</v>
      </c>
      <c r="B28" s="13">
        <v>1212</v>
      </c>
      <c r="D28" s="104"/>
      <c r="E28" s="39" t="s">
        <v>84</v>
      </c>
      <c r="F28" s="107"/>
      <c r="G28" s="108"/>
      <c r="H28" s="110"/>
      <c r="I28" s="112"/>
    </row>
    <row r="29" spans="1:9" ht="15.75" customHeight="1" thickBot="1" x14ac:dyDescent="0.25">
      <c r="A29" s="33">
        <f t="shared" si="0"/>
        <v>27</v>
      </c>
      <c r="B29" s="13">
        <v>1304</v>
      </c>
      <c r="D29" s="104">
        <v>12</v>
      </c>
      <c r="E29" s="39" t="s">
        <v>39</v>
      </c>
      <c r="F29" s="106"/>
      <c r="G29" s="108"/>
      <c r="H29" s="109"/>
      <c r="I29" s="111"/>
    </row>
    <row r="30" spans="1:9" x14ac:dyDescent="0.2">
      <c r="A30" s="33">
        <f t="shared" si="0"/>
        <v>28</v>
      </c>
      <c r="B30" s="13">
        <v>1396</v>
      </c>
      <c r="D30" s="104"/>
      <c r="E30" s="39" t="s">
        <v>22</v>
      </c>
      <c r="F30" s="107"/>
      <c r="G30" s="108"/>
      <c r="H30" s="110"/>
      <c r="I30" s="112"/>
    </row>
    <row r="31" spans="1:9" ht="15.75" thickBot="1" x14ac:dyDescent="0.25">
      <c r="A31" s="33">
        <f t="shared" si="0"/>
        <v>29</v>
      </c>
      <c r="B31" s="13">
        <v>1488</v>
      </c>
      <c r="D31" s="104">
        <v>13</v>
      </c>
      <c r="E31" s="39" t="s">
        <v>40</v>
      </c>
      <c r="F31" s="106"/>
      <c r="G31" s="108"/>
      <c r="H31" s="109"/>
      <c r="I31" s="111"/>
    </row>
    <row r="32" spans="1:9" x14ac:dyDescent="0.2">
      <c r="A32" s="34">
        <f t="shared" si="0"/>
        <v>30</v>
      </c>
      <c r="B32" s="13">
        <v>1580</v>
      </c>
      <c r="D32" s="104"/>
      <c r="E32" s="39" t="s">
        <v>85</v>
      </c>
      <c r="F32" s="107"/>
      <c r="G32" s="108"/>
      <c r="H32" s="110"/>
      <c r="I32" s="112"/>
    </row>
    <row r="33" spans="1:9" ht="15.75" thickBot="1" x14ac:dyDescent="0.25">
      <c r="A33" s="33">
        <f t="shared" si="0"/>
        <v>31</v>
      </c>
      <c r="B33" s="13">
        <v>1672</v>
      </c>
      <c r="D33" s="104">
        <v>14</v>
      </c>
      <c r="E33" s="39" t="s">
        <v>41</v>
      </c>
      <c r="F33" s="106"/>
      <c r="G33" s="108"/>
      <c r="H33" s="109"/>
      <c r="I33" s="111"/>
    </row>
    <row r="34" spans="1:9" x14ac:dyDescent="0.2">
      <c r="A34" s="33">
        <f t="shared" si="0"/>
        <v>32</v>
      </c>
      <c r="B34" s="13">
        <v>1764</v>
      </c>
      <c r="D34" s="104"/>
      <c r="E34" s="39" t="s">
        <v>86</v>
      </c>
      <c r="F34" s="107"/>
      <c r="G34" s="108"/>
      <c r="H34" s="110"/>
      <c r="I34" s="112"/>
    </row>
    <row r="35" spans="1:9" ht="15.75" thickBot="1" x14ac:dyDescent="0.25">
      <c r="A35" s="33">
        <f t="shared" si="0"/>
        <v>33</v>
      </c>
      <c r="B35" s="13">
        <v>1856</v>
      </c>
      <c r="D35" s="104">
        <v>15</v>
      </c>
      <c r="E35" s="39" t="s">
        <v>42</v>
      </c>
      <c r="F35" s="106"/>
      <c r="G35" s="108"/>
      <c r="H35" s="109"/>
      <c r="I35" s="111"/>
    </row>
    <row r="36" spans="1:9" x14ac:dyDescent="0.2">
      <c r="A36" s="33">
        <f t="shared" si="0"/>
        <v>34</v>
      </c>
      <c r="B36" s="13">
        <v>1948</v>
      </c>
      <c r="D36" s="104"/>
      <c r="E36" s="39" t="s">
        <v>87</v>
      </c>
      <c r="F36" s="107"/>
      <c r="G36" s="108"/>
      <c r="H36" s="110"/>
      <c r="I36" s="112"/>
    </row>
    <row r="37" spans="1:9" ht="15.75" thickBot="1" x14ac:dyDescent="0.25">
      <c r="A37" s="34">
        <f t="shared" si="0"/>
        <v>35</v>
      </c>
      <c r="B37" s="13">
        <v>2040</v>
      </c>
      <c r="D37" s="104">
        <v>16</v>
      </c>
      <c r="E37" s="39" t="s">
        <v>34</v>
      </c>
      <c r="F37" s="106"/>
      <c r="G37" s="108"/>
      <c r="H37" s="109"/>
      <c r="I37" s="111"/>
    </row>
    <row r="38" spans="1:9" x14ac:dyDescent="0.2">
      <c r="A38" s="33">
        <f t="shared" si="0"/>
        <v>36</v>
      </c>
      <c r="B38" s="13">
        <v>2132</v>
      </c>
      <c r="D38" s="104"/>
      <c r="E38" s="39" t="s">
        <v>78</v>
      </c>
      <c r="F38" s="107"/>
      <c r="G38" s="108"/>
      <c r="H38" s="110"/>
      <c r="I38" s="112"/>
    </row>
    <row r="39" spans="1:9" ht="15.75" thickBot="1" x14ac:dyDescent="0.25">
      <c r="A39" s="33">
        <f t="shared" si="0"/>
        <v>37</v>
      </c>
      <c r="B39" s="13">
        <v>2224</v>
      </c>
      <c r="D39" s="104">
        <v>17</v>
      </c>
      <c r="E39" s="39" t="s">
        <v>43</v>
      </c>
      <c r="F39" s="106"/>
      <c r="G39" s="108"/>
      <c r="H39" s="109"/>
      <c r="I39" s="111"/>
    </row>
    <row r="40" spans="1:9" x14ac:dyDescent="0.2">
      <c r="A40" s="33">
        <f t="shared" si="0"/>
        <v>38</v>
      </c>
      <c r="B40" s="13">
        <v>2316</v>
      </c>
      <c r="D40" s="104"/>
      <c r="E40" s="40" t="s">
        <v>88</v>
      </c>
      <c r="F40" s="107"/>
      <c r="G40" s="108"/>
      <c r="H40" s="110"/>
      <c r="I40" s="112"/>
    </row>
    <row r="41" spans="1:9" ht="15.75" thickBot="1" x14ac:dyDescent="0.25">
      <c r="A41" s="33">
        <f t="shared" si="0"/>
        <v>39</v>
      </c>
      <c r="B41" s="13">
        <v>2408</v>
      </c>
      <c r="D41" s="104">
        <v>18</v>
      </c>
      <c r="E41" s="39" t="s">
        <v>89</v>
      </c>
      <c r="F41" s="106"/>
      <c r="G41" s="108"/>
      <c r="H41" s="109"/>
      <c r="I41" s="111"/>
    </row>
    <row r="42" spans="1:9" x14ac:dyDescent="0.2">
      <c r="A42" s="34">
        <f t="shared" si="0"/>
        <v>40</v>
      </c>
      <c r="B42" s="13">
        <v>2500</v>
      </c>
      <c r="D42" s="104"/>
      <c r="E42" s="39" t="s">
        <v>90</v>
      </c>
      <c r="F42" s="107"/>
      <c r="G42" s="108"/>
      <c r="H42" s="110"/>
      <c r="I42" s="112"/>
    </row>
    <row r="43" spans="1:9" ht="15.75" thickBot="1" x14ac:dyDescent="0.25">
      <c r="A43" s="33">
        <f t="shared" si="0"/>
        <v>41</v>
      </c>
      <c r="B43" s="13">
        <v>2500</v>
      </c>
      <c r="D43" s="104">
        <v>19</v>
      </c>
      <c r="E43" s="39" t="s">
        <v>91</v>
      </c>
      <c r="F43" s="106"/>
      <c r="G43" s="108"/>
      <c r="H43" s="109"/>
      <c r="I43" s="111"/>
    </row>
    <row r="44" spans="1:9" x14ac:dyDescent="0.2">
      <c r="A44" s="33">
        <f t="shared" si="0"/>
        <v>42</v>
      </c>
      <c r="B44" s="13">
        <v>2500</v>
      </c>
      <c r="D44" s="104"/>
      <c r="E44" s="39" t="s">
        <v>92</v>
      </c>
      <c r="F44" s="107"/>
      <c r="G44" s="108"/>
      <c r="H44" s="110"/>
      <c r="I44" s="112"/>
    </row>
    <row r="45" spans="1:9" ht="15.75" thickBot="1" x14ac:dyDescent="0.25">
      <c r="A45" s="33">
        <f t="shared" si="0"/>
        <v>43</v>
      </c>
      <c r="B45" s="13">
        <v>2500</v>
      </c>
      <c r="D45" s="104">
        <v>20</v>
      </c>
      <c r="E45" s="39" t="s">
        <v>93</v>
      </c>
      <c r="F45" s="106"/>
      <c r="G45" s="108"/>
      <c r="H45" s="109"/>
      <c r="I45" s="111"/>
    </row>
    <row r="46" spans="1:9" x14ac:dyDescent="0.2">
      <c r="A46" s="33">
        <f t="shared" si="0"/>
        <v>44</v>
      </c>
      <c r="B46" s="13">
        <v>2500</v>
      </c>
      <c r="D46" s="104"/>
      <c r="E46" s="39" t="s">
        <v>94</v>
      </c>
      <c r="F46" s="107"/>
      <c r="G46" s="108"/>
      <c r="H46" s="110"/>
      <c r="I46" s="112"/>
    </row>
    <row r="47" spans="1:9" ht="15.75" thickBot="1" x14ac:dyDescent="0.25">
      <c r="A47" s="34">
        <f t="shared" si="0"/>
        <v>45</v>
      </c>
      <c r="B47" s="13">
        <v>2500</v>
      </c>
      <c r="D47" s="104">
        <v>21</v>
      </c>
      <c r="E47" s="39" t="s">
        <v>95</v>
      </c>
      <c r="F47" s="106"/>
      <c r="G47" s="108"/>
      <c r="H47" s="109"/>
      <c r="I47" s="111"/>
    </row>
    <row r="48" spans="1:9" x14ac:dyDescent="0.2">
      <c r="A48" s="33">
        <f t="shared" si="0"/>
        <v>46</v>
      </c>
      <c r="B48" s="13">
        <v>2500</v>
      </c>
      <c r="D48" s="104"/>
      <c r="E48" s="39" t="s">
        <v>96</v>
      </c>
      <c r="F48" s="107"/>
      <c r="G48" s="108"/>
      <c r="H48" s="110"/>
      <c r="I48" s="112"/>
    </row>
    <row r="49" spans="1:9" ht="15.75" thickBot="1" x14ac:dyDescent="0.25">
      <c r="A49" s="33">
        <f t="shared" si="0"/>
        <v>47</v>
      </c>
      <c r="B49" s="13">
        <v>2500</v>
      </c>
      <c r="D49" s="104">
        <v>22</v>
      </c>
      <c r="E49" s="39" t="s">
        <v>44</v>
      </c>
      <c r="F49" s="106"/>
      <c r="G49" s="108"/>
      <c r="H49" s="109"/>
      <c r="I49" s="111"/>
    </row>
    <row r="50" spans="1:9" x14ac:dyDescent="0.2">
      <c r="A50" s="33">
        <f t="shared" si="0"/>
        <v>48</v>
      </c>
      <c r="B50" s="13">
        <v>2570</v>
      </c>
      <c r="D50" s="104"/>
      <c r="E50" s="39" t="s">
        <v>84</v>
      </c>
      <c r="F50" s="107"/>
      <c r="G50" s="108"/>
      <c r="H50" s="110"/>
      <c r="I50" s="112"/>
    </row>
    <row r="51" spans="1:9" ht="15.75" thickBot="1" x14ac:dyDescent="0.25">
      <c r="A51" s="33">
        <f t="shared" si="0"/>
        <v>49</v>
      </c>
      <c r="B51" s="13">
        <v>2640</v>
      </c>
      <c r="D51" s="104">
        <v>23</v>
      </c>
      <c r="E51" s="39" t="s">
        <v>39</v>
      </c>
      <c r="F51" s="106"/>
      <c r="G51" s="108"/>
      <c r="H51" s="109"/>
      <c r="I51" s="111"/>
    </row>
    <row r="52" spans="1:9" x14ac:dyDescent="0.2">
      <c r="A52" s="34">
        <f t="shared" si="0"/>
        <v>50</v>
      </c>
      <c r="B52" s="13">
        <v>2710</v>
      </c>
      <c r="D52" s="104"/>
      <c r="E52" s="39" t="s">
        <v>22</v>
      </c>
      <c r="F52" s="107"/>
      <c r="G52" s="108"/>
      <c r="H52" s="110"/>
      <c r="I52" s="112"/>
    </row>
    <row r="53" spans="1:9" ht="15.75" thickBot="1" x14ac:dyDescent="0.25">
      <c r="A53" s="33">
        <f t="shared" si="0"/>
        <v>51</v>
      </c>
      <c r="B53" s="13">
        <v>2780</v>
      </c>
      <c r="D53" s="104">
        <v>24</v>
      </c>
      <c r="E53" s="39" t="s">
        <v>45</v>
      </c>
      <c r="F53" s="106"/>
      <c r="G53" s="108"/>
      <c r="H53" s="109"/>
      <c r="I53" s="111"/>
    </row>
    <row r="54" spans="1:9" x14ac:dyDescent="0.2">
      <c r="A54" s="33">
        <f t="shared" si="0"/>
        <v>52</v>
      </c>
      <c r="B54" s="13">
        <v>2850</v>
      </c>
      <c r="D54" s="104"/>
      <c r="E54" s="39" t="s">
        <v>97</v>
      </c>
      <c r="F54" s="107"/>
      <c r="G54" s="108"/>
      <c r="H54" s="110"/>
      <c r="I54" s="112"/>
    </row>
    <row r="55" spans="1:9" ht="15.75" thickBot="1" x14ac:dyDescent="0.25">
      <c r="A55" s="33">
        <f t="shared" si="0"/>
        <v>53</v>
      </c>
      <c r="B55" s="13">
        <v>2920</v>
      </c>
      <c r="D55" s="104">
        <v>25</v>
      </c>
      <c r="E55" s="39" t="s">
        <v>98</v>
      </c>
      <c r="F55" s="106"/>
      <c r="G55" s="108"/>
      <c r="H55" s="109"/>
      <c r="I55" s="111"/>
    </row>
    <row r="56" spans="1:9" x14ac:dyDescent="0.2">
      <c r="A56" s="33">
        <f t="shared" si="0"/>
        <v>54</v>
      </c>
      <c r="B56" s="13">
        <v>2990</v>
      </c>
      <c r="D56" s="104"/>
      <c r="E56" s="39" t="s">
        <v>99</v>
      </c>
      <c r="F56" s="107"/>
      <c r="G56" s="108"/>
      <c r="H56" s="110"/>
      <c r="I56" s="112"/>
    </row>
    <row r="57" spans="1:9" ht="15.75" thickBot="1" x14ac:dyDescent="0.25">
      <c r="A57" s="33">
        <f t="shared" si="0"/>
        <v>55</v>
      </c>
      <c r="B57" s="13">
        <v>3060</v>
      </c>
      <c r="D57" s="104">
        <v>26</v>
      </c>
      <c r="E57" s="39" t="s">
        <v>100</v>
      </c>
      <c r="F57" s="106"/>
      <c r="G57" s="108"/>
      <c r="H57" s="109"/>
      <c r="I57" s="111"/>
    </row>
    <row r="58" spans="1:9" x14ac:dyDescent="0.2">
      <c r="A58" s="33">
        <f t="shared" si="0"/>
        <v>56</v>
      </c>
      <c r="B58" s="13">
        <v>3130</v>
      </c>
      <c r="D58" s="104"/>
      <c r="E58" s="39" t="s">
        <v>101</v>
      </c>
      <c r="F58" s="107"/>
      <c r="G58" s="108"/>
      <c r="H58" s="110"/>
      <c r="I58" s="112"/>
    </row>
    <row r="59" spans="1:9" ht="15.75" thickBot="1" x14ac:dyDescent="0.25">
      <c r="A59" s="33">
        <f t="shared" si="0"/>
        <v>57</v>
      </c>
      <c r="B59" s="13">
        <v>3200</v>
      </c>
      <c r="D59" s="104">
        <v>27</v>
      </c>
      <c r="E59" s="39" t="s">
        <v>34</v>
      </c>
      <c r="F59" s="106"/>
      <c r="G59" s="108"/>
      <c r="H59" s="109"/>
      <c r="I59" s="111"/>
    </row>
    <row r="60" spans="1:9" x14ac:dyDescent="0.2">
      <c r="A60" s="33">
        <f t="shared" si="0"/>
        <v>58</v>
      </c>
      <c r="B60" s="13">
        <v>3270</v>
      </c>
      <c r="D60" s="104"/>
      <c r="E60" s="39" t="s">
        <v>78</v>
      </c>
      <c r="F60" s="107"/>
      <c r="G60" s="108"/>
      <c r="H60" s="110"/>
      <c r="I60" s="112"/>
    </row>
    <row r="61" spans="1:9" ht="15.75" thickBot="1" x14ac:dyDescent="0.25">
      <c r="A61" s="33">
        <f t="shared" si="0"/>
        <v>59</v>
      </c>
      <c r="B61" s="13">
        <v>3340</v>
      </c>
      <c r="D61" s="104">
        <v>28</v>
      </c>
      <c r="E61" s="39" t="s">
        <v>46</v>
      </c>
      <c r="F61" s="106"/>
      <c r="G61" s="108"/>
      <c r="H61" s="109"/>
      <c r="I61" s="111"/>
    </row>
    <row r="62" spans="1:9" x14ac:dyDescent="0.2">
      <c r="A62" s="33">
        <f t="shared" si="0"/>
        <v>60</v>
      </c>
      <c r="B62" s="13">
        <v>3410</v>
      </c>
      <c r="D62" s="104"/>
      <c r="E62" s="40" t="s">
        <v>88</v>
      </c>
      <c r="F62" s="107"/>
      <c r="G62" s="108"/>
      <c r="H62" s="110"/>
      <c r="I62" s="112"/>
    </row>
    <row r="63" spans="1:9" ht="15.75" thickBot="1" x14ac:dyDescent="0.25">
      <c r="A63" s="33">
        <f t="shared" si="0"/>
        <v>61</v>
      </c>
      <c r="B63" s="13">
        <v>3480</v>
      </c>
      <c r="D63" s="104">
        <v>29</v>
      </c>
      <c r="E63" s="39" t="s">
        <v>102</v>
      </c>
      <c r="F63" s="106"/>
      <c r="G63" s="108"/>
      <c r="H63" s="109"/>
      <c r="I63" s="111"/>
    </row>
    <row r="64" spans="1:9" x14ac:dyDescent="0.2">
      <c r="A64" s="33">
        <f t="shared" si="0"/>
        <v>62</v>
      </c>
      <c r="B64" s="13">
        <v>3550</v>
      </c>
      <c r="D64" s="104"/>
      <c r="E64" s="39" t="s">
        <v>103</v>
      </c>
      <c r="F64" s="107"/>
      <c r="G64" s="108"/>
      <c r="H64" s="110"/>
      <c r="I64" s="112"/>
    </row>
    <row r="65" spans="1:9" ht="15.75" thickBot="1" x14ac:dyDescent="0.25">
      <c r="A65" s="33">
        <f t="shared" si="0"/>
        <v>63</v>
      </c>
      <c r="B65" s="13">
        <v>3620</v>
      </c>
      <c r="D65" s="104">
        <v>30</v>
      </c>
      <c r="E65" s="39" t="s">
        <v>104</v>
      </c>
      <c r="F65" s="106"/>
      <c r="G65" s="108"/>
      <c r="H65" s="109"/>
      <c r="I65" s="111"/>
    </row>
    <row r="66" spans="1:9" x14ac:dyDescent="0.2">
      <c r="A66" s="33">
        <f t="shared" si="0"/>
        <v>64</v>
      </c>
      <c r="B66" s="13">
        <v>3690</v>
      </c>
      <c r="D66" s="104"/>
      <c r="E66" s="39" t="s">
        <v>92</v>
      </c>
      <c r="F66" s="107"/>
      <c r="G66" s="108"/>
      <c r="H66" s="110"/>
      <c r="I66" s="112"/>
    </row>
    <row r="67" spans="1:9" ht="15.75" thickBot="1" x14ac:dyDescent="0.25">
      <c r="A67" s="33">
        <f t="shared" si="0"/>
        <v>65</v>
      </c>
      <c r="B67" s="13">
        <v>3760</v>
      </c>
      <c r="D67" s="104">
        <v>31</v>
      </c>
      <c r="E67" s="39" t="s">
        <v>105</v>
      </c>
      <c r="F67" s="106"/>
      <c r="G67" s="108"/>
      <c r="H67" s="109"/>
      <c r="I67" s="111"/>
    </row>
    <row r="68" spans="1:9" x14ac:dyDescent="0.2">
      <c r="A68" s="33">
        <f t="shared" si="0"/>
        <v>66</v>
      </c>
      <c r="B68" s="13">
        <v>3830</v>
      </c>
      <c r="D68" s="104"/>
      <c r="E68" s="39" t="s">
        <v>106</v>
      </c>
      <c r="F68" s="107"/>
      <c r="G68" s="108"/>
      <c r="H68" s="110"/>
      <c r="I68" s="112"/>
    </row>
    <row r="69" spans="1:9" ht="15.75" thickBot="1" x14ac:dyDescent="0.25">
      <c r="A69" s="33">
        <f t="shared" si="0"/>
        <v>67</v>
      </c>
      <c r="B69" s="13">
        <v>3900</v>
      </c>
      <c r="D69" s="104">
        <v>32</v>
      </c>
      <c r="E69" s="39" t="s">
        <v>47</v>
      </c>
      <c r="F69" s="106"/>
      <c r="G69" s="108"/>
      <c r="H69" s="109"/>
      <c r="I69" s="111"/>
    </row>
    <row r="70" spans="1:9" x14ac:dyDescent="0.2">
      <c r="A70" s="33">
        <f t="shared" ref="A70:A133" si="1">A69+1</f>
        <v>68</v>
      </c>
      <c r="B70" s="13">
        <v>3970</v>
      </c>
      <c r="D70" s="104"/>
      <c r="E70" s="39" t="s">
        <v>107</v>
      </c>
      <c r="F70" s="107"/>
      <c r="G70" s="108"/>
      <c r="H70" s="110"/>
      <c r="I70" s="112"/>
    </row>
    <row r="71" spans="1:9" ht="15.75" thickBot="1" x14ac:dyDescent="0.25">
      <c r="A71" s="33">
        <f t="shared" si="1"/>
        <v>69</v>
      </c>
      <c r="B71" s="13">
        <v>4040</v>
      </c>
      <c r="D71" s="104">
        <v>33</v>
      </c>
      <c r="E71" s="39" t="s">
        <v>108</v>
      </c>
      <c r="F71" s="106"/>
      <c r="G71" s="108"/>
      <c r="H71" s="109"/>
      <c r="I71" s="111"/>
    </row>
    <row r="72" spans="1:9" x14ac:dyDescent="0.2">
      <c r="A72" s="33">
        <f t="shared" si="1"/>
        <v>70</v>
      </c>
      <c r="B72" s="13">
        <v>4110</v>
      </c>
      <c r="D72" s="104"/>
      <c r="E72" s="39" t="s">
        <v>109</v>
      </c>
      <c r="F72" s="107"/>
      <c r="G72" s="108"/>
      <c r="H72" s="110"/>
      <c r="I72" s="112"/>
    </row>
    <row r="73" spans="1:9" ht="15.75" thickBot="1" x14ac:dyDescent="0.25">
      <c r="A73" s="33">
        <f t="shared" si="1"/>
        <v>71</v>
      </c>
      <c r="B73" s="13">
        <v>4180</v>
      </c>
      <c r="D73" s="104">
        <v>34</v>
      </c>
      <c r="E73" s="39" t="s">
        <v>48</v>
      </c>
      <c r="F73" s="106"/>
      <c r="G73" s="108"/>
      <c r="H73" s="109"/>
      <c r="I73" s="111"/>
    </row>
    <row r="74" spans="1:9" x14ac:dyDescent="0.2">
      <c r="A74" s="33">
        <f t="shared" si="1"/>
        <v>72</v>
      </c>
      <c r="B74" s="13">
        <v>4250</v>
      </c>
      <c r="D74" s="104"/>
      <c r="E74" s="39" t="s">
        <v>110</v>
      </c>
      <c r="F74" s="107"/>
      <c r="G74" s="108"/>
      <c r="H74" s="110"/>
      <c r="I74" s="112"/>
    </row>
    <row r="75" spans="1:9" ht="15.75" thickBot="1" x14ac:dyDescent="0.25">
      <c r="A75" s="33">
        <f t="shared" si="1"/>
        <v>73</v>
      </c>
      <c r="B75" s="13">
        <v>4320</v>
      </c>
      <c r="D75" s="104">
        <v>35</v>
      </c>
      <c r="E75" s="41" t="s">
        <v>111</v>
      </c>
      <c r="F75" s="106"/>
      <c r="G75" s="108"/>
      <c r="H75" s="109"/>
      <c r="I75" s="111"/>
    </row>
    <row r="76" spans="1:9" x14ac:dyDescent="0.2">
      <c r="A76" s="33">
        <f t="shared" si="1"/>
        <v>74</v>
      </c>
      <c r="B76" s="13">
        <v>4390</v>
      </c>
      <c r="D76" s="104"/>
      <c r="E76" s="41" t="s">
        <v>112</v>
      </c>
      <c r="F76" s="107"/>
      <c r="G76" s="108"/>
      <c r="H76" s="110"/>
      <c r="I76" s="112"/>
    </row>
    <row r="77" spans="1:9" ht="15.75" thickBot="1" x14ac:dyDescent="0.25">
      <c r="A77" s="33">
        <f t="shared" si="1"/>
        <v>75</v>
      </c>
      <c r="B77" s="13">
        <v>4460</v>
      </c>
      <c r="D77" s="104">
        <v>36</v>
      </c>
      <c r="E77" s="39" t="s">
        <v>113</v>
      </c>
      <c r="F77" s="106"/>
      <c r="G77" s="108"/>
      <c r="H77" s="109"/>
      <c r="I77" s="111"/>
    </row>
    <row r="78" spans="1:9" x14ac:dyDescent="0.2">
      <c r="A78" s="33">
        <f t="shared" si="1"/>
        <v>76</v>
      </c>
      <c r="B78" s="13">
        <v>4530</v>
      </c>
      <c r="D78" s="104"/>
      <c r="E78" s="39" t="s">
        <v>114</v>
      </c>
      <c r="F78" s="107"/>
      <c r="G78" s="108"/>
      <c r="H78" s="110"/>
      <c r="I78" s="112"/>
    </row>
    <row r="79" spans="1:9" ht="15.75" thickBot="1" x14ac:dyDescent="0.25">
      <c r="A79" s="33">
        <f t="shared" si="1"/>
        <v>77</v>
      </c>
      <c r="B79" s="13">
        <v>4600</v>
      </c>
      <c r="D79" s="104">
        <v>37</v>
      </c>
      <c r="E79" s="39" t="s">
        <v>115</v>
      </c>
      <c r="F79" s="106"/>
      <c r="G79" s="108"/>
      <c r="H79" s="109"/>
      <c r="I79" s="111"/>
    </row>
    <row r="80" spans="1:9" x14ac:dyDescent="0.2">
      <c r="A80" s="33">
        <f t="shared" si="1"/>
        <v>78</v>
      </c>
      <c r="B80" s="13">
        <v>4670</v>
      </c>
      <c r="D80" s="104"/>
      <c r="E80" s="39" t="s">
        <v>116</v>
      </c>
      <c r="F80" s="107"/>
      <c r="G80" s="108"/>
      <c r="H80" s="110"/>
      <c r="I80" s="112"/>
    </row>
    <row r="81" spans="1:9" ht="15.75" thickBot="1" x14ac:dyDescent="0.25">
      <c r="A81" s="33">
        <f t="shared" si="1"/>
        <v>79</v>
      </c>
      <c r="B81" s="13">
        <v>4740</v>
      </c>
      <c r="D81" s="104">
        <v>38</v>
      </c>
      <c r="E81" s="39" t="s">
        <v>48</v>
      </c>
      <c r="F81" s="106"/>
      <c r="G81" s="108"/>
      <c r="H81" s="109"/>
      <c r="I81" s="111"/>
    </row>
    <row r="82" spans="1:9" x14ac:dyDescent="0.2">
      <c r="A82" s="33">
        <f t="shared" si="1"/>
        <v>80</v>
      </c>
      <c r="B82" s="13">
        <v>4810</v>
      </c>
      <c r="D82" s="104"/>
      <c r="E82" s="39" t="s">
        <v>110</v>
      </c>
      <c r="F82" s="107"/>
      <c r="G82" s="108"/>
      <c r="H82" s="110"/>
      <c r="I82" s="112"/>
    </row>
    <row r="83" spans="1:9" ht="15.75" thickBot="1" x14ac:dyDescent="0.25">
      <c r="A83" s="33">
        <f t="shared" si="1"/>
        <v>81</v>
      </c>
      <c r="B83" s="13">
        <v>4880</v>
      </c>
      <c r="D83" s="104">
        <v>39</v>
      </c>
      <c r="E83" s="41" t="s">
        <v>117</v>
      </c>
      <c r="F83" s="106"/>
      <c r="G83" s="108"/>
      <c r="H83" s="109"/>
      <c r="I83" s="111"/>
    </row>
    <row r="84" spans="1:9" x14ac:dyDescent="0.2">
      <c r="A84" s="33">
        <f t="shared" si="1"/>
        <v>82</v>
      </c>
      <c r="B84" s="13">
        <v>4950</v>
      </c>
      <c r="D84" s="104"/>
      <c r="E84" s="41" t="s">
        <v>118</v>
      </c>
      <c r="F84" s="107"/>
      <c r="G84" s="108"/>
      <c r="H84" s="110"/>
      <c r="I84" s="112"/>
    </row>
    <row r="85" spans="1:9" ht="15.75" thickBot="1" x14ac:dyDescent="0.25">
      <c r="A85" s="33">
        <f t="shared" si="1"/>
        <v>83</v>
      </c>
      <c r="B85" s="13">
        <v>4950</v>
      </c>
      <c r="D85" s="104">
        <v>40</v>
      </c>
      <c r="E85" s="39" t="s">
        <v>113</v>
      </c>
      <c r="F85" s="106"/>
      <c r="G85" s="108"/>
      <c r="H85" s="109"/>
      <c r="I85" s="111"/>
    </row>
    <row r="86" spans="1:9" x14ac:dyDescent="0.2">
      <c r="A86" s="33">
        <f t="shared" si="1"/>
        <v>84</v>
      </c>
      <c r="B86" s="13">
        <v>4950</v>
      </c>
      <c r="D86" s="104"/>
      <c r="E86" s="39" t="s">
        <v>114</v>
      </c>
      <c r="F86" s="107"/>
      <c r="G86" s="108"/>
      <c r="H86" s="110"/>
      <c r="I86" s="112"/>
    </row>
    <row r="87" spans="1:9" ht="15.75" thickBot="1" x14ac:dyDescent="0.25">
      <c r="A87" s="33">
        <f t="shared" si="1"/>
        <v>85</v>
      </c>
      <c r="B87" s="13">
        <v>4950</v>
      </c>
      <c r="D87" s="104">
        <v>41</v>
      </c>
      <c r="E87" s="39" t="s">
        <v>119</v>
      </c>
      <c r="F87" s="106"/>
      <c r="G87" s="108"/>
      <c r="H87" s="109"/>
      <c r="I87" s="111"/>
    </row>
    <row r="88" spans="1:9" x14ac:dyDescent="0.2">
      <c r="A88" s="33">
        <f t="shared" si="1"/>
        <v>86</v>
      </c>
      <c r="B88" s="13">
        <v>4950</v>
      </c>
      <c r="D88" s="104"/>
      <c r="E88" s="39" t="s">
        <v>120</v>
      </c>
      <c r="F88" s="107"/>
      <c r="G88" s="108"/>
      <c r="H88" s="110"/>
      <c r="I88" s="112"/>
    </row>
    <row r="89" spans="1:9" ht="15.75" thickBot="1" x14ac:dyDescent="0.25">
      <c r="A89" s="33">
        <f t="shared" si="1"/>
        <v>87</v>
      </c>
      <c r="B89" s="13">
        <v>4950</v>
      </c>
      <c r="D89" s="104">
        <v>42</v>
      </c>
      <c r="E89" s="39" t="s">
        <v>47</v>
      </c>
      <c r="F89" s="106"/>
      <c r="G89" s="108"/>
      <c r="H89" s="109"/>
      <c r="I89" s="111"/>
    </row>
    <row r="90" spans="1:9" x14ac:dyDescent="0.2">
      <c r="A90" s="33">
        <f t="shared" si="1"/>
        <v>88</v>
      </c>
      <c r="B90" s="13">
        <v>4950</v>
      </c>
      <c r="D90" s="104"/>
      <c r="E90" s="39" t="s">
        <v>107</v>
      </c>
      <c r="F90" s="107"/>
      <c r="G90" s="108"/>
      <c r="H90" s="110"/>
      <c r="I90" s="112"/>
    </row>
    <row r="91" spans="1:9" ht="15.75" thickBot="1" x14ac:dyDescent="0.25">
      <c r="A91" s="33">
        <f t="shared" si="1"/>
        <v>89</v>
      </c>
      <c r="B91" s="13">
        <v>4950</v>
      </c>
      <c r="D91" s="104">
        <v>43</v>
      </c>
      <c r="E91" s="39" t="s">
        <v>121</v>
      </c>
      <c r="F91" s="106"/>
      <c r="G91" s="108"/>
      <c r="H91" s="109"/>
      <c r="I91" s="111"/>
    </row>
    <row r="92" spans="1:9" x14ac:dyDescent="0.2">
      <c r="A92" s="33">
        <f t="shared" si="1"/>
        <v>90</v>
      </c>
      <c r="B92" s="13">
        <v>4950</v>
      </c>
      <c r="D92" s="104"/>
      <c r="E92" s="39" t="s">
        <v>122</v>
      </c>
      <c r="F92" s="107"/>
      <c r="G92" s="108"/>
      <c r="H92" s="110"/>
      <c r="I92" s="112"/>
    </row>
    <row r="93" spans="1:9" ht="15.75" thickBot="1" x14ac:dyDescent="0.25">
      <c r="A93" s="33">
        <f t="shared" si="1"/>
        <v>91</v>
      </c>
      <c r="B93" s="13">
        <v>4965</v>
      </c>
      <c r="D93" s="104">
        <v>44</v>
      </c>
      <c r="E93" s="39" t="s">
        <v>48</v>
      </c>
      <c r="F93" s="106"/>
      <c r="G93" s="108"/>
      <c r="H93" s="109"/>
      <c r="I93" s="111"/>
    </row>
    <row r="94" spans="1:9" x14ac:dyDescent="0.2">
      <c r="A94" s="33">
        <f t="shared" si="1"/>
        <v>92</v>
      </c>
      <c r="B94" s="13">
        <v>4980</v>
      </c>
      <c r="D94" s="104"/>
      <c r="E94" s="39" t="s">
        <v>110</v>
      </c>
      <c r="F94" s="107"/>
      <c r="G94" s="108"/>
      <c r="H94" s="110"/>
      <c r="I94" s="112"/>
    </row>
    <row r="95" spans="1:9" ht="15.75" thickBot="1" x14ac:dyDescent="0.25">
      <c r="A95" s="33">
        <f t="shared" si="1"/>
        <v>93</v>
      </c>
      <c r="B95" s="13">
        <v>4995</v>
      </c>
      <c r="D95" s="104">
        <v>45</v>
      </c>
      <c r="E95" s="41" t="s">
        <v>123</v>
      </c>
      <c r="F95" s="106"/>
      <c r="G95" s="108"/>
      <c r="H95" s="109"/>
      <c r="I95" s="111"/>
    </row>
    <row r="96" spans="1:9" x14ac:dyDescent="0.2">
      <c r="A96" s="33">
        <f t="shared" si="1"/>
        <v>94</v>
      </c>
      <c r="B96" s="13">
        <v>5010</v>
      </c>
      <c r="D96" s="104"/>
      <c r="E96" s="41" t="s">
        <v>124</v>
      </c>
      <c r="F96" s="107"/>
      <c r="G96" s="108"/>
      <c r="H96" s="110"/>
      <c r="I96" s="112"/>
    </row>
    <row r="97" spans="1:9" ht="15.75" thickBot="1" x14ac:dyDescent="0.25">
      <c r="A97" s="33">
        <f t="shared" si="1"/>
        <v>95</v>
      </c>
      <c r="B97" s="13">
        <v>5025</v>
      </c>
      <c r="D97" s="104">
        <v>46</v>
      </c>
      <c r="E97" s="39" t="s">
        <v>113</v>
      </c>
      <c r="F97" s="106"/>
      <c r="G97" s="108"/>
      <c r="H97" s="109"/>
      <c r="I97" s="111"/>
    </row>
    <row r="98" spans="1:9" x14ac:dyDescent="0.2">
      <c r="A98" s="33">
        <f t="shared" si="1"/>
        <v>96</v>
      </c>
      <c r="B98" s="13">
        <v>5040</v>
      </c>
      <c r="D98" s="104"/>
      <c r="E98" s="39" t="s">
        <v>114</v>
      </c>
      <c r="F98" s="107"/>
      <c r="G98" s="108"/>
      <c r="H98" s="110"/>
      <c r="I98" s="112"/>
    </row>
    <row r="99" spans="1:9" ht="15.75" thickBot="1" x14ac:dyDescent="0.25">
      <c r="A99" s="33">
        <f t="shared" si="1"/>
        <v>97</v>
      </c>
      <c r="B99" s="13">
        <v>5055</v>
      </c>
      <c r="D99" s="104">
        <v>47</v>
      </c>
      <c r="E99" s="39" t="s">
        <v>125</v>
      </c>
      <c r="F99" s="106"/>
      <c r="G99" s="108"/>
      <c r="H99" s="109"/>
      <c r="I99" s="111"/>
    </row>
    <row r="100" spans="1:9" x14ac:dyDescent="0.2">
      <c r="A100" s="33">
        <f t="shared" si="1"/>
        <v>98</v>
      </c>
      <c r="B100" s="13">
        <v>5070</v>
      </c>
      <c r="D100" s="104"/>
      <c r="E100" s="39" t="s">
        <v>126</v>
      </c>
      <c r="F100" s="107"/>
      <c r="G100" s="108"/>
      <c r="H100" s="110"/>
      <c r="I100" s="112"/>
    </row>
    <row r="101" spans="1:9" ht="15.75" thickBot="1" x14ac:dyDescent="0.25">
      <c r="A101" s="33">
        <f t="shared" si="1"/>
        <v>99</v>
      </c>
      <c r="B101" s="13">
        <v>5085</v>
      </c>
      <c r="D101" s="104">
        <v>48</v>
      </c>
      <c r="E101" s="39" t="s">
        <v>48</v>
      </c>
      <c r="F101" s="106"/>
      <c r="G101" s="108"/>
      <c r="H101" s="109"/>
      <c r="I101" s="111"/>
    </row>
    <row r="102" spans="1:9" x14ac:dyDescent="0.2">
      <c r="A102" s="33">
        <f t="shared" si="1"/>
        <v>100</v>
      </c>
      <c r="B102" s="13">
        <v>5100</v>
      </c>
      <c r="D102" s="104"/>
      <c r="E102" s="39" t="s">
        <v>110</v>
      </c>
      <c r="F102" s="107"/>
      <c r="G102" s="108"/>
      <c r="H102" s="110"/>
      <c r="I102" s="112"/>
    </row>
    <row r="103" spans="1:9" ht="15.75" thickBot="1" x14ac:dyDescent="0.25">
      <c r="A103" s="33">
        <f t="shared" si="1"/>
        <v>101</v>
      </c>
      <c r="B103" s="13">
        <v>5115</v>
      </c>
      <c r="D103" s="104">
        <v>49</v>
      </c>
      <c r="E103" s="41" t="s">
        <v>127</v>
      </c>
      <c r="F103" s="106"/>
      <c r="G103" s="108"/>
      <c r="H103" s="109"/>
      <c r="I103" s="111"/>
    </row>
    <row r="104" spans="1:9" x14ac:dyDescent="0.2">
      <c r="A104" s="33">
        <f t="shared" si="1"/>
        <v>102</v>
      </c>
      <c r="B104" s="13">
        <v>5130</v>
      </c>
      <c r="D104" s="104"/>
      <c r="E104" s="41" t="s">
        <v>128</v>
      </c>
      <c r="F104" s="107"/>
      <c r="G104" s="108"/>
      <c r="H104" s="110"/>
      <c r="I104" s="112"/>
    </row>
    <row r="105" spans="1:9" ht="15.75" thickBot="1" x14ac:dyDescent="0.25">
      <c r="A105" s="33">
        <f t="shared" si="1"/>
        <v>103</v>
      </c>
      <c r="B105" s="13">
        <v>5145</v>
      </c>
      <c r="D105" s="104">
        <v>50</v>
      </c>
      <c r="E105" s="39" t="s">
        <v>113</v>
      </c>
      <c r="F105" s="106"/>
      <c r="G105" s="108"/>
      <c r="H105" s="109"/>
      <c r="I105" s="111"/>
    </row>
    <row r="106" spans="1:9" x14ac:dyDescent="0.2">
      <c r="A106" s="33">
        <f t="shared" si="1"/>
        <v>104</v>
      </c>
      <c r="B106" s="13">
        <v>5160</v>
      </c>
      <c r="D106" s="104"/>
      <c r="E106" s="39" t="s">
        <v>114</v>
      </c>
      <c r="F106" s="107"/>
      <c r="G106" s="108"/>
      <c r="H106" s="110"/>
      <c r="I106" s="112"/>
    </row>
    <row r="107" spans="1:9" ht="15.75" thickBot="1" x14ac:dyDescent="0.25">
      <c r="A107" s="33">
        <f t="shared" si="1"/>
        <v>105</v>
      </c>
      <c r="B107" s="13">
        <v>5175</v>
      </c>
      <c r="D107" s="104">
        <v>51</v>
      </c>
      <c r="E107" s="39" t="s">
        <v>129</v>
      </c>
      <c r="F107" s="106"/>
      <c r="G107" s="108"/>
      <c r="H107" s="109"/>
      <c r="I107" s="111"/>
    </row>
    <row r="108" spans="1:9" x14ac:dyDescent="0.2">
      <c r="A108" s="33">
        <f t="shared" si="1"/>
        <v>106</v>
      </c>
      <c r="B108" s="13">
        <v>5190</v>
      </c>
      <c r="D108" s="104"/>
      <c r="E108" s="39" t="s">
        <v>130</v>
      </c>
      <c r="F108" s="107"/>
      <c r="G108" s="108"/>
      <c r="H108" s="110"/>
      <c r="I108" s="112"/>
    </row>
    <row r="109" spans="1:9" ht="15.75" thickBot="1" x14ac:dyDescent="0.25">
      <c r="A109" s="33">
        <f t="shared" si="1"/>
        <v>107</v>
      </c>
      <c r="B109" s="13">
        <v>5205</v>
      </c>
      <c r="D109" s="104">
        <v>52</v>
      </c>
      <c r="E109" s="39" t="s">
        <v>48</v>
      </c>
      <c r="F109" s="106"/>
      <c r="G109" s="108"/>
      <c r="H109" s="109"/>
      <c r="I109" s="111"/>
    </row>
    <row r="110" spans="1:9" x14ac:dyDescent="0.2">
      <c r="A110" s="33">
        <f t="shared" si="1"/>
        <v>108</v>
      </c>
      <c r="B110" s="13">
        <v>5220</v>
      </c>
      <c r="D110" s="104"/>
      <c r="E110" s="39" t="s">
        <v>110</v>
      </c>
      <c r="F110" s="107"/>
      <c r="G110" s="108"/>
      <c r="H110" s="110"/>
      <c r="I110" s="112"/>
    </row>
    <row r="111" spans="1:9" ht="15.75" thickBot="1" x14ac:dyDescent="0.25">
      <c r="A111" s="33">
        <f t="shared" si="1"/>
        <v>109</v>
      </c>
      <c r="B111" s="13">
        <v>5235</v>
      </c>
      <c r="D111" s="104">
        <v>53</v>
      </c>
      <c r="E111" s="41" t="s">
        <v>131</v>
      </c>
      <c r="F111" s="106"/>
      <c r="G111" s="108"/>
      <c r="H111" s="109"/>
      <c r="I111" s="111"/>
    </row>
    <row r="112" spans="1:9" x14ac:dyDescent="0.2">
      <c r="A112" s="33">
        <f t="shared" si="1"/>
        <v>110</v>
      </c>
      <c r="B112">
        <v>5250</v>
      </c>
      <c r="D112" s="104"/>
      <c r="E112" s="41" t="s">
        <v>132</v>
      </c>
      <c r="F112" s="107"/>
      <c r="G112" s="108"/>
      <c r="H112" s="110"/>
      <c r="I112" s="112"/>
    </row>
    <row r="113" spans="1:9" ht="15.75" thickBot="1" x14ac:dyDescent="0.25">
      <c r="A113" s="33">
        <f t="shared" si="1"/>
        <v>111</v>
      </c>
      <c r="B113">
        <v>5265</v>
      </c>
      <c r="D113" s="104">
        <v>54</v>
      </c>
      <c r="E113" s="41" t="s">
        <v>133</v>
      </c>
      <c r="F113" s="106"/>
      <c r="G113" s="108"/>
      <c r="H113" s="109"/>
      <c r="I113" s="111"/>
    </row>
    <row r="114" spans="1:9" x14ac:dyDescent="0.2">
      <c r="A114" s="33">
        <f t="shared" si="1"/>
        <v>112</v>
      </c>
      <c r="B114">
        <v>5280</v>
      </c>
      <c r="D114" s="104"/>
      <c r="E114" s="41" t="s">
        <v>134</v>
      </c>
      <c r="F114" s="107"/>
      <c r="G114" s="108"/>
      <c r="H114" s="110"/>
      <c r="I114" s="112"/>
    </row>
    <row r="115" spans="1:9" ht="15.75" thickBot="1" x14ac:dyDescent="0.25">
      <c r="A115" s="33">
        <f t="shared" si="1"/>
        <v>113</v>
      </c>
      <c r="B115">
        <v>5295</v>
      </c>
      <c r="D115" s="104">
        <v>55</v>
      </c>
      <c r="E115" s="39" t="s">
        <v>113</v>
      </c>
      <c r="F115" s="106"/>
      <c r="G115" s="108"/>
      <c r="H115" s="109"/>
      <c r="I115" s="111"/>
    </row>
    <row r="116" spans="1:9" x14ac:dyDescent="0.2">
      <c r="A116" s="33">
        <f t="shared" si="1"/>
        <v>114</v>
      </c>
      <c r="B116">
        <v>5310</v>
      </c>
      <c r="D116" s="104"/>
      <c r="E116" s="39" t="s">
        <v>114</v>
      </c>
      <c r="F116" s="107"/>
      <c r="G116" s="108"/>
      <c r="H116" s="110"/>
      <c r="I116" s="112"/>
    </row>
    <row r="117" spans="1:9" ht="15.75" thickBot="1" x14ac:dyDescent="0.25">
      <c r="A117" s="33">
        <f t="shared" si="1"/>
        <v>115</v>
      </c>
      <c r="B117">
        <v>5325</v>
      </c>
      <c r="D117" s="104">
        <v>56</v>
      </c>
      <c r="E117" s="39" t="s">
        <v>135</v>
      </c>
      <c r="F117" s="106"/>
      <c r="G117" s="108"/>
      <c r="H117" s="109"/>
      <c r="I117" s="111"/>
    </row>
    <row r="118" spans="1:9" x14ac:dyDescent="0.2">
      <c r="A118" s="33">
        <f t="shared" si="1"/>
        <v>116</v>
      </c>
      <c r="B118">
        <v>5340</v>
      </c>
      <c r="D118" s="104"/>
      <c r="E118" s="39" t="s">
        <v>136</v>
      </c>
      <c r="F118" s="107"/>
      <c r="G118" s="108"/>
      <c r="H118" s="110"/>
      <c r="I118" s="112"/>
    </row>
    <row r="119" spans="1:9" ht="15.75" thickBot="1" x14ac:dyDescent="0.25">
      <c r="A119" s="33">
        <f t="shared" si="1"/>
        <v>117</v>
      </c>
      <c r="B119">
        <v>5355</v>
      </c>
      <c r="D119" s="104">
        <v>57</v>
      </c>
      <c r="E119" s="39" t="s">
        <v>48</v>
      </c>
      <c r="F119" s="106"/>
      <c r="G119" s="108"/>
      <c r="H119" s="109"/>
      <c r="I119" s="111"/>
    </row>
    <row r="120" spans="1:9" x14ac:dyDescent="0.2">
      <c r="A120" s="33">
        <f t="shared" si="1"/>
        <v>118</v>
      </c>
      <c r="B120">
        <v>5370</v>
      </c>
      <c r="D120" s="104"/>
      <c r="E120" s="39" t="s">
        <v>110</v>
      </c>
      <c r="F120" s="107"/>
      <c r="G120" s="108"/>
      <c r="H120" s="110"/>
      <c r="I120" s="112"/>
    </row>
    <row r="121" spans="1:9" ht="15.75" thickBot="1" x14ac:dyDescent="0.25">
      <c r="A121" s="33">
        <f t="shared" si="1"/>
        <v>119</v>
      </c>
      <c r="B121">
        <v>5385</v>
      </c>
      <c r="D121" s="104">
        <v>58</v>
      </c>
      <c r="E121" s="41" t="s">
        <v>137</v>
      </c>
      <c r="F121" s="106"/>
      <c r="G121" s="108"/>
      <c r="H121" s="109"/>
      <c r="I121" s="111"/>
    </row>
    <row r="122" spans="1:9" x14ac:dyDescent="0.2">
      <c r="A122" s="33">
        <f t="shared" si="1"/>
        <v>120</v>
      </c>
      <c r="B122">
        <v>5400</v>
      </c>
      <c r="D122" s="104"/>
      <c r="E122" s="41" t="s">
        <v>138</v>
      </c>
      <c r="F122" s="107"/>
      <c r="G122" s="108"/>
      <c r="H122" s="110"/>
      <c r="I122" s="112"/>
    </row>
    <row r="123" spans="1:9" ht="15.75" thickBot="1" x14ac:dyDescent="0.25">
      <c r="A123" s="33">
        <f t="shared" si="1"/>
        <v>121</v>
      </c>
      <c r="B123">
        <v>5415</v>
      </c>
      <c r="D123" s="104">
        <v>59</v>
      </c>
      <c r="E123" s="39" t="s">
        <v>113</v>
      </c>
      <c r="F123" s="106"/>
      <c r="G123" s="108"/>
      <c r="H123" s="109"/>
      <c r="I123" s="111"/>
    </row>
    <row r="124" spans="1:9" x14ac:dyDescent="0.2">
      <c r="A124" s="33">
        <f t="shared" si="1"/>
        <v>122</v>
      </c>
      <c r="B124">
        <v>5430</v>
      </c>
      <c r="D124" s="104"/>
      <c r="E124" s="39" t="s">
        <v>114</v>
      </c>
      <c r="F124" s="107"/>
      <c r="G124" s="108"/>
      <c r="H124" s="110"/>
      <c r="I124" s="112"/>
    </row>
    <row r="125" spans="1:9" ht="15.75" thickBot="1" x14ac:dyDescent="0.25">
      <c r="A125" s="33">
        <f t="shared" si="1"/>
        <v>123</v>
      </c>
      <c r="B125">
        <v>5445</v>
      </c>
      <c r="D125" s="104">
        <v>60</v>
      </c>
      <c r="E125" s="39" t="s">
        <v>139</v>
      </c>
      <c r="F125" s="106"/>
      <c r="G125" s="108"/>
      <c r="H125" s="109"/>
      <c r="I125" s="111"/>
    </row>
    <row r="126" spans="1:9" x14ac:dyDescent="0.2">
      <c r="A126" s="33">
        <f t="shared" si="1"/>
        <v>124</v>
      </c>
      <c r="B126">
        <v>5460</v>
      </c>
      <c r="D126" s="104"/>
      <c r="E126" s="39" t="s">
        <v>140</v>
      </c>
      <c r="F126" s="107"/>
      <c r="G126" s="108"/>
      <c r="H126" s="110"/>
      <c r="I126" s="112"/>
    </row>
    <row r="127" spans="1:9" ht="15.75" thickBot="1" x14ac:dyDescent="0.25">
      <c r="A127" s="33">
        <f t="shared" si="1"/>
        <v>125</v>
      </c>
      <c r="B127">
        <v>5475</v>
      </c>
      <c r="D127" s="104">
        <v>61</v>
      </c>
      <c r="E127" s="39" t="s">
        <v>47</v>
      </c>
      <c r="F127" s="106"/>
      <c r="G127" s="108"/>
      <c r="H127" s="109"/>
      <c r="I127" s="111"/>
    </row>
    <row r="128" spans="1:9" x14ac:dyDescent="0.2">
      <c r="A128" s="33">
        <f t="shared" si="1"/>
        <v>126</v>
      </c>
      <c r="B128">
        <v>5490</v>
      </c>
      <c r="D128" s="104"/>
      <c r="E128" s="39" t="s">
        <v>107</v>
      </c>
      <c r="F128" s="107"/>
      <c r="G128" s="108"/>
      <c r="H128" s="110"/>
      <c r="I128" s="112"/>
    </row>
    <row r="129" spans="1:9" ht="15.75" thickBot="1" x14ac:dyDescent="0.25">
      <c r="A129" s="33">
        <f t="shared" si="1"/>
        <v>127</v>
      </c>
      <c r="B129">
        <v>5505</v>
      </c>
      <c r="D129" s="104">
        <v>62</v>
      </c>
      <c r="E129" s="39" t="s">
        <v>141</v>
      </c>
      <c r="F129" s="106"/>
      <c r="G129" s="108"/>
      <c r="H129" s="109"/>
      <c r="I129" s="111"/>
    </row>
    <row r="130" spans="1:9" x14ac:dyDescent="0.2">
      <c r="A130" s="33">
        <f t="shared" si="1"/>
        <v>128</v>
      </c>
      <c r="B130">
        <v>5520</v>
      </c>
      <c r="D130" s="104"/>
      <c r="E130" s="39" t="s">
        <v>142</v>
      </c>
      <c r="F130" s="107"/>
      <c r="G130" s="108"/>
      <c r="H130" s="110"/>
      <c r="I130" s="112"/>
    </row>
    <row r="131" spans="1:9" ht="15.75" thickBot="1" x14ac:dyDescent="0.25">
      <c r="A131" s="33">
        <f t="shared" si="1"/>
        <v>129</v>
      </c>
      <c r="B131">
        <v>5535</v>
      </c>
      <c r="D131" s="104">
        <v>63</v>
      </c>
      <c r="E131" s="39" t="s">
        <v>48</v>
      </c>
      <c r="F131" s="106"/>
      <c r="G131" s="108"/>
      <c r="H131" s="109"/>
      <c r="I131" s="111"/>
    </row>
    <row r="132" spans="1:9" x14ac:dyDescent="0.2">
      <c r="A132" s="33">
        <f t="shared" si="1"/>
        <v>130</v>
      </c>
      <c r="B132">
        <v>5550</v>
      </c>
      <c r="D132" s="104"/>
      <c r="E132" s="39" t="s">
        <v>110</v>
      </c>
      <c r="F132" s="107"/>
      <c r="G132" s="108"/>
      <c r="H132" s="110"/>
      <c r="I132" s="112"/>
    </row>
    <row r="133" spans="1:9" ht="15.75" thickBot="1" x14ac:dyDescent="0.25">
      <c r="A133" s="33">
        <f t="shared" si="1"/>
        <v>131</v>
      </c>
      <c r="B133">
        <v>5550</v>
      </c>
      <c r="D133" s="104">
        <v>64</v>
      </c>
      <c r="E133" s="41" t="s">
        <v>143</v>
      </c>
      <c r="F133" s="106"/>
      <c r="G133" s="108"/>
      <c r="H133" s="109"/>
      <c r="I133" s="111"/>
    </row>
    <row r="134" spans="1:9" x14ac:dyDescent="0.2">
      <c r="A134" s="33">
        <f t="shared" ref="A134:A147" si="2">A133+1</f>
        <v>132</v>
      </c>
      <c r="B134">
        <v>5550</v>
      </c>
      <c r="D134" s="104"/>
      <c r="E134" s="41" t="s">
        <v>144</v>
      </c>
      <c r="F134" s="107"/>
      <c r="G134" s="108"/>
      <c r="H134" s="110"/>
      <c r="I134" s="112"/>
    </row>
    <row r="135" spans="1:9" ht="15.75" thickBot="1" x14ac:dyDescent="0.25">
      <c r="A135" s="33">
        <f t="shared" si="2"/>
        <v>133</v>
      </c>
      <c r="B135">
        <v>5550</v>
      </c>
      <c r="D135" s="104">
        <v>65</v>
      </c>
      <c r="E135" s="41" t="s">
        <v>145</v>
      </c>
      <c r="F135" s="106"/>
      <c r="G135" s="108"/>
      <c r="H135" s="109"/>
      <c r="I135" s="111"/>
    </row>
    <row r="136" spans="1:9" x14ac:dyDescent="0.2">
      <c r="A136" s="33">
        <f t="shared" si="2"/>
        <v>134</v>
      </c>
      <c r="B136">
        <v>5550</v>
      </c>
      <c r="D136" s="104"/>
      <c r="E136" s="41" t="s">
        <v>146</v>
      </c>
      <c r="F136" s="107"/>
      <c r="G136" s="108"/>
      <c r="H136" s="110"/>
      <c r="I136" s="112"/>
    </row>
    <row r="137" spans="1:9" ht="15.75" thickBot="1" x14ac:dyDescent="0.25">
      <c r="A137" s="33">
        <f t="shared" si="2"/>
        <v>135</v>
      </c>
      <c r="B137">
        <v>5550</v>
      </c>
      <c r="D137" s="104">
        <v>66</v>
      </c>
      <c r="E137" s="39" t="s">
        <v>113</v>
      </c>
      <c r="F137" s="106"/>
      <c r="G137" s="108"/>
      <c r="H137" s="109"/>
      <c r="I137" s="111"/>
    </row>
    <row r="138" spans="1:9" x14ac:dyDescent="0.2">
      <c r="A138" s="33">
        <f t="shared" si="2"/>
        <v>136</v>
      </c>
      <c r="B138">
        <v>5550</v>
      </c>
      <c r="D138" s="104"/>
      <c r="E138" s="39" t="s">
        <v>114</v>
      </c>
      <c r="F138" s="107"/>
      <c r="G138" s="108"/>
      <c r="H138" s="110"/>
      <c r="I138" s="112"/>
    </row>
    <row r="139" spans="1:9" ht="15.75" thickBot="1" x14ac:dyDescent="0.25">
      <c r="A139" s="33">
        <f t="shared" si="2"/>
        <v>137</v>
      </c>
      <c r="B139">
        <v>5550</v>
      </c>
      <c r="D139" s="104">
        <v>67</v>
      </c>
      <c r="E139" s="39" t="s">
        <v>147</v>
      </c>
      <c r="F139" s="106"/>
      <c r="G139" s="108"/>
      <c r="H139" s="109"/>
      <c r="I139" s="111"/>
    </row>
    <row r="140" spans="1:9" x14ac:dyDescent="0.2">
      <c r="A140" s="33">
        <f t="shared" si="2"/>
        <v>138</v>
      </c>
      <c r="B140">
        <v>5550</v>
      </c>
      <c r="D140" s="104"/>
      <c r="E140" s="39" t="s">
        <v>148</v>
      </c>
      <c r="F140" s="107"/>
      <c r="G140" s="108"/>
      <c r="H140" s="110"/>
      <c r="I140" s="112"/>
    </row>
    <row r="141" spans="1:9" ht="15.75" thickBot="1" x14ac:dyDescent="0.25">
      <c r="A141" s="33">
        <f t="shared" si="2"/>
        <v>139</v>
      </c>
      <c r="B141">
        <v>5550</v>
      </c>
      <c r="D141" s="104">
        <v>68</v>
      </c>
      <c r="E141" s="39" t="s">
        <v>44</v>
      </c>
      <c r="F141" s="106"/>
      <c r="G141" s="108"/>
      <c r="H141" s="109"/>
      <c r="I141" s="111"/>
    </row>
    <row r="142" spans="1:9" x14ac:dyDescent="0.2">
      <c r="A142" s="33">
        <f t="shared" si="2"/>
        <v>140</v>
      </c>
      <c r="B142">
        <v>5550</v>
      </c>
      <c r="D142" s="104"/>
      <c r="E142" s="39" t="s">
        <v>149</v>
      </c>
      <c r="F142" s="107"/>
      <c r="G142" s="108"/>
      <c r="H142" s="110"/>
      <c r="I142" s="112"/>
    </row>
    <row r="143" spans="1:9" ht="15.75" thickBot="1" x14ac:dyDescent="0.25">
      <c r="A143" s="33">
        <f t="shared" si="2"/>
        <v>141</v>
      </c>
      <c r="B143">
        <v>5550</v>
      </c>
      <c r="D143" s="104">
        <v>69</v>
      </c>
      <c r="E143" s="39" t="s">
        <v>39</v>
      </c>
      <c r="F143" s="106"/>
      <c r="G143" s="108"/>
      <c r="H143" s="109"/>
      <c r="I143" s="111"/>
    </row>
    <row r="144" spans="1:9" x14ac:dyDescent="0.2">
      <c r="A144" s="33">
        <f t="shared" si="2"/>
        <v>142</v>
      </c>
      <c r="B144">
        <v>5550</v>
      </c>
      <c r="D144" s="104"/>
      <c r="E144" s="39" t="s">
        <v>22</v>
      </c>
      <c r="F144" s="107"/>
      <c r="G144" s="108"/>
      <c r="H144" s="110"/>
      <c r="I144" s="112"/>
    </row>
    <row r="145" spans="1:9" ht="15.75" thickBot="1" x14ac:dyDescent="0.25">
      <c r="A145" s="33">
        <f t="shared" si="2"/>
        <v>143</v>
      </c>
      <c r="B145">
        <v>5550</v>
      </c>
      <c r="D145" s="104">
        <v>70</v>
      </c>
      <c r="E145" s="39" t="s">
        <v>150</v>
      </c>
      <c r="F145" s="106"/>
      <c r="G145" s="108"/>
      <c r="H145" s="109"/>
      <c r="I145" s="111"/>
    </row>
    <row r="146" spans="1:9" x14ac:dyDescent="0.2">
      <c r="A146" s="33">
        <f t="shared" si="2"/>
        <v>144</v>
      </c>
      <c r="B146">
        <v>5550</v>
      </c>
      <c r="D146" s="104"/>
      <c r="E146" s="39" t="s">
        <v>151</v>
      </c>
      <c r="F146" s="107"/>
      <c r="G146" s="108"/>
      <c r="H146" s="110"/>
      <c r="I146" s="112"/>
    </row>
    <row r="147" spans="1:9" ht="15.75" thickBot="1" x14ac:dyDescent="0.25">
      <c r="A147" s="33">
        <f t="shared" si="2"/>
        <v>145</v>
      </c>
      <c r="B147">
        <v>5550</v>
      </c>
      <c r="D147" s="104">
        <v>71</v>
      </c>
      <c r="E147" s="39" t="s">
        <v>152</v>
      </c>
      <c r="F147" s="106"/>
      <c r="G147" s="108"/>
      <c r="H147" s="109"/>
      <c r="I147" s="111"/>
    </row>
    <row r="148" spans="1:9" x14ac:dyDescent="0.2">
      <c r="D148" s="104"/>
      <c r="E148" s="39" t="s">
        <v>153</v>
      </c>
      <c r="F148" s="107"/>
      <c r="G148" s="108"/>
      <c r="H148" s="110"/>
      <c r="I148" s="112"/>
    </row>
    <row r="149" spans="1:9" ht="15.75" thickBot="1" x14ac:dyDescent="0.25">
      <c r="D149" s="104">
        <v>72</v>
      </c>
      <c r="E149" s="39" t="s">
        <v>154</v>
      </c>
      <c r="F149" s="106"/>
      <c r="G149" s="108"/>
      <c r="H149" s="109"/>
      <c r="I149" s="111"/>
    </row>
    <row r="150" spans="1:9" x14ac:dyDescent="0.2">
      <c r="D150" s="104"/>
      <c r="E150" s="39" t="s">
        <v>155</v>
      </c>
      <c r="F150" s="107"/>
      <c r="G150" s="108"/>
      <c r="H150" s="110"/>
      <c r="I150" s="112"/>
    </row>
    <row r="151" spans="1:9" ht="15.75" thickBot="1" x14ac:dyDescent="0.25">
      <c r="D151" s="104">
        <v>73</v>
      </c>
      <c r="E151" s="39" t="s">
        <v>34</v>
      </c>
      <c r="F151" s="106"/>
      <c r="G151" s="108"/>
      <c r="H151" s="109"/>
      <c r="I151" s="111"/>
    </row>
    <row r="152" spans="1:9" x14ac:dyDescent="0.2">
      <c r="D152" s="104"/>
      <c r="E152" s="42" t="s">
        <v>78</v>
      </c>
      <c r="F152" s="107"/>
      <c r="G152" s="108"/>
      <c r="H152" s="110"/>
      <c r="I152" s="112"/>
    </row>
    <row r="153" spans="1:9" ht="15.75" thickBot="1" x14ac:dyDescent="0.25">
      <c r="D153" s="104">
        <v>74</v>
      </c>
      <c r="E153" s="39" t="s">
        <v>49</v>
      </c>
      <c r="F153" s="108"/>
      <c r="G153" s="108"/>
      <c r="H153" s="109"/>
      <c r="I153" s="114"/>
    </row>
    <row r="154" spans="1:9" ht="15.75" thickBot="1" x14ac:dyDescent="0.25">
      <c r="D154" s="105"/>
      <c r="E154" s="50" t="s">
        <v>156</v>
      </c>
      <c r="F154" s="106"/>
      <c r="G154" s="106"/>
      <c r="H154" s="113"/>
      <c r="I154" s="111"/>
    </row>
  </sheetData>
  <mergeCells count="375">
    <mergeCell ref="D1:I1"/>
    <mergeCell ref="H9:H10"/>
    <mergeCell ref="H11:H12"/>
    <mergeCell ref="I9:I10"/>
    <mergeCell ref="I11:I12"/>
    <mergeCell ref="F13:F14"/>
    <mergeCell ref="G13:G14"/>
    <mergeCell ref="H13:H14"/>
    <mergeCell ref="I13:I14"/>
    <mergeCell ref="D11:D12"/>
    <mergeCell ref="F9:F10"/>
    <mergeCell ref="D7:D8"/>
    <mergeCell ref="F7:F8"/>
    <mergeCell ref="G7:G8"/>
    <mergeCell ref="G15:G16"/>
    <mergeCell ref="H7:H8"/>
    <mergeCell ref="I7:I8"/>
    <mergeCell ref="D3:D4"/>
    <mergeCell ref="E3:E4"/>
    <mergeCell ref="D5:D6"/>
    <mergeCell ref="E5:E6"/>
    <mergeCell ref="D9:D10"/>
    <mergeCell ref="G9:G10"/>
    <mergeCell ref="G11:G12"/>
    <mergeCell ref="D13:D14"/>
    <mergeCell ref="D15:D16"/>
    <mergeCell ref="F23:F24"/>
    <mergeCell ref="G23:G24"/>
    <mergeCell ref="H23:H24"/>
    <mergeCell ref="I23:I24"/>
    <mergeCell ref="F25:F26"/>
    <mergeCell ref="G25:G26"/>
    <mergeCell ref="H25:H26"/>
    <mergeCell ref="I25:I26"/>
    <mergeCell ref="F11:F12"/>
    <mergeCell ref="F19:F20"/>
    <mergeCell ref="G19:G20"/>
    <mergeCell ref="H19:H20"/>
    <mergeCell ref="I19:I20"/>
    <mergeCell ref="F21:F22"/>
    <mergeCell ref="G21:G22"/>
    <mergeCell ref="H21:H22"/>
    <mergeCell ref="I21:I22"/>
    <mergeCell ref="H15:H16"/>
    <mergeCell ref="I15:I16"/>
    <mergeCell ref="F17:F18"/>
    <mergeCell ref="G17:G18"/>
    <mergeCell ref="H17:H18"/>
    <mergeCell ref="I17:I18"/>
    <mergeCell ref="F15:F16"/>
    <mergeCell ref="F31:F32"/>
    <mergeCell ref="G31:G32"/>
    <mergeCell ref="H31:H32"/>
    <mergeCell ref="I31:I32"/>
    <mergeCell ref="F33:F34"/>
    <mergeCell ref="G33:G34"/>
    <mergeCell ref="H33:H34"/>
    <mergeCell ref="I33:I34"/>
    <mergeCell ref="F27:F28"/>
    <mergeCell ref="G27:G28"/>
    <mergeCell ref="H27:H28"/>
    <mergeCell ref="I27:I28"/>
    <mergeCell ref="F29:F30"/>
    <mergeCell ref="G29:G30"/>
    <mergeCell ref="H29:H30"/>
    <mergeCell ref="I29:I30"/>
    <mergeCell ref="F39:F40"/>
    <mergeCell ref="G39:G40"/>
    <mergeCell ref="H39:H40"/>
    <mergeCell ref="I39:I40"/>
    <mergeCell ref="F41:F42"/>
    <mergeCell ref="G41:G42"/>
    <mergeCell ref="H41:H42"/>
    <mergeCell ref="I41:I42"/>
    <mergeCell ref="F35:F36"/>
    <mergeCell ref="G35:G36"/>
    <mergeCell ref="H35:H36"/>
    <mergeCell ref="I35:I36"/>
    <mergeCell ref="F37:F38"/>
    <mergeCell ref="G37:G38"/>
    <mergeCell ref="H37:H38"/>
    <mergeCell ref="I37:I38"/>
    <mergeCell ref="F47:F48"/>
    <mergeCell ref="G47:G48"/>
    <mergeCell ref="H47:H48"/>
    <mergeCell ref="I47:I48"/>
    <mergeCell ref="F49:F50"/>
    <mergeCell ref="G49:G50"/>
    <mergeCell ref="H49:H50"/>
    <mergeCell ref="I49:I50"/>
    <mergeCell ref="F43:F44"/>
    <mergeCell ref="G43:G44"/>
    <mergeCell ref="H43:H44"/>
    <mergeCell ref="I43:I44"/>
    <mergeCell ref="F45:F46"/>
    <mergeCell ref="G45:G46"/>
    <mergeCell ref="H45:H46"/>
    <mergeCell ref="I45:I46"/>
    <mergeCell ref="F55:F56"/>
    <mergeCell ref="G55:G56"/>
    <mergeCell ref="H55:H56"/>
    <mergeCell ref="I55:I56"/>
    <mergeCell ref="F57:F58"/>
    <mergeCell ref="G57:G58"/>
    <mergeCell ref="H57:H58"/>
    <mergeCell ref="I57:I58"/>
    <mergeCell ref="F51:F52"/>
    <mergeCell ref="G51:G52"/>
    <mergeCell ref="H51:H52"/>
    <mergeCell ref="I51:I52"/>
    <mergeCell ref="F53:F54"/>
    <mergeCell ref="G53:G54"/>
    <mergeCell ref="H53:H54"/>
    <mergeCell ref="I53:I54"/>
    <mergeCell ref="F63:F64"/>
    <mergeCell ref="G63:G64"/>
    <mergeCell ref="H63:H64"/>
    <mergeCell ref="I63:I64"/>
    <mergeCell ref="F65:F66"/>
    <mergeCell ref="G65:G66"/>
    <mergeCell ref="H65:H66"/>
    <mergeCell ref="I65:I66"/>
    <mergeCell ref="F59:F60"/>
    <mergeCell ref="G59:G60"/>
    <mergeCell ref="H59:H60"/>
    <mergeCell ref="I59:I60"/>
    <mergeCell ref="F61:F62"/>
    <mergeCell ref="G61:G62"/>
    <mergeCell ref="H61:H62"/>
    <mergeCell ref="I61:I62"/>
    <mergeCell ref="F71:F72"/>
    <mergeCell ref="G71:G72"/>
    <mergeCell ref="H71:H72"/>
    <mergeCell ref="I71:I72"/>
    <mergeCell ref="F73:F74"/>
    <mergeCell ref="G73:G74"/>
    <mergeCell ref="H73:H74"/>
    <mergeCell ref="I73:I74"/>
    <mergeCell ref="F67:F68"/>
    <mergeCell ref="G67:G68"/>
    <mergeCell ref="H67:H68"/>
    <mergeCell ref="I67:I68"/>
    <mergeCell ref="F69:F70"/>
    <mergeCell ref="G69:G70"/>
    <mergeCell ref="H69:H70"/>
    <mergeCell ref="I69:I70"/>
    <mergeCell ref="F79:F80"/>
    <mergeCell ref="G79:G80"/>
    <mergeCell ref="H79:H80"/>
    <mergeCell ref="I79:I80"/>
    <mergeCell ref="F81:F82"/>
    <mergeCell ref="G81:G82"/>
    <mergeCell ref="H81:H82"/>
    <mergeCell ref="I81:I82"/>
    <mergeCell ref="F75:F76"/>
    <mergeCell ref="G75:G76"/>
    <mergeCell ref="H75:H76"/>
    <mergeCell ref="I75:I76"/>
    <mergeCell ref="F77:F78"/>
    <mergeCell ref="G77:G78"/>
    <mergeCell ref="H77:H78"/>
    <mergeCell ref="I77:I78"/>
    <mergeCell ref="F87:F88"/>
    <mergeCell ref="G87:G88"/>
    <mergeCell ref="H87:H88"/>
    <mergeCell ref="I87:I88"/>
    <mergeCell ref="F89:F90"/>
    <mergeCell ref="G89:G90"/>
    <mergeCell ref="H89:H90"/>
    <mergeCell ref="I89:I90"/>
    <mergeCell ref="F83:F84"/>
    <mergeCell ref="G83:G84"/>
    <mergeCell ref="H83:H84"/>
    <mergeCell ref="I83:I84"/>
    <mergeCell ref="F85:F86"/>
    <mergeCell ref="G85:G86"/>
    <mergeCell ref="H85:H86"/>
    <mergeCell ref="I85:I86"/>
    <mergeCell ref="F95:F96"/>
    <mergeCell ref="G95:G96"/>
    <mergeCell ref="H95:H96"/>
    <mergeCell ref="I95:I96"/>
    <mergeCell ref="F97:F98"/>
    <mergeCell ref="G97:G98"/>
    <mergeCell ref="H97:H98"/>
    <mergeCell ref="I97:I98"/>
    <mergeCell ref="F91:F92"/>
    <mergeCell ref="G91:G92"/>
    <mergeCell ref="H91:H92"/>
    <mergeCell ref="I91:I92"/>
    <mergeCell ref="F93:F94"/>
    <mergeCell ref="G93:G94"/>
    <mergeCell ref="H93:H94"/>
    <mergeCell ref="I93:I94"/>
    <mergeCell ref="F103:F104"/>
    <mergeCell ref="G103:G104"/>
    <mergeCell ref="H103:H104"/>
    <mergeCell ref="I103:I104"/>
    <mergeCell ref="F105:F106"/>
    <mergeCell ref="G105:G106"/>
    <mergeCell ref="H105:H106"/>
    <mergeCell ref="I105:I106"/>
    <mergeCell ref="F99:F100"/>
    <mergeCell ref="G99:G100"/>
    <mergeCell ref="H99:H100"/>
    <mergeCell ref="I99:I100"/>
    <mergeCell ref="F101:F102"/>
    <mergeCell ref="G101:G102"/>
    <mergeCell ref="H101:H102"/>
    <mergeCell ref="I101:I102"/>
    <mergeCell ref="F111:F112"/>
    <mergeCell ref="G111:G112"/>
    <mergeCell ref="H111:H112"/>
    <mergeCell ref="I111:I112"/>
    <mergeCell ref="F113:F114"/>
    <mergeCell ref="G113:G114"/>
    <mergeCell ref="H113:H114"/>
    <mergeCell ref="I113:I114"/>
    <mergeCell ref="F107:F108"/>
    <mergeCell ref="G107:G108"/>
    <mergeCell ref="H107:H108"/>
    <mergeCell ref="I107:I108"/>
    <mergeCell ref="F109:F110"/>
    <mergeCell ref="G109:G110"/>
    <mergeCell ref="H109:H110"/>
    <mergeCell ref="I109:I110"/>
    <mergeCell ref="F119:F120"/>
    <mergeCell ref="G119:G120"/>
    <mergeCell ref="H119:H120"/>
    <mergeCell ref="I119:I120"/>
    <mergeCell ref="F121:F122"/>
    <mergeCell ref="G121:G122"/>
    <mergeCell ref="H121:H122"/>
    <mergeCell ref="I121:I122"/>
    <mergeCell ref="F115:F116"/>
    <mergeCell ref="G115:G116"/>
    <mergeCell ref="H115:H116"/>
    <mergeCell ref="I115:I116"/>
    <mergeCell ref="F117:F118"/>
    <mergeCell ref="G117:G118"/>
    <mergeCell ref="H117:H118"/>
    <mergeCell ref="I117:I118"/>
    <mergeCell ref="F127:F128"/>
    <mergeCell ref="G127:G128"/>
    <mergeCell ref="H127:H128"/>
    <mergeCell ref="I127:I128"/>
    <mergeCell ref="F129:F130"/>
    <mergeCell ref="G129:G130"/>
    <mergeCell ref="H129:H130"/>
    <mergeCell ref="I129:I130"/>
    <mergeCell ref="F123:F124"/>
    <mergeCell ref="G123:G124"/>
    <mergeCell ref="H123:H124"/>
    <mergeCell ref="I123:I124"/>
    <mergeCell ref="F125:F126"/>
    <mergeCell ref="G125:G126"/>
    <mergeCell ref="H125:H126"/>
    <mergeCell ref="I125:I126"/>
    <mergeCell ref="F135:F136"/>
    <mergeCell ref="G135:G136"/>
    <mergeCell ref="H135:H136"/>
    <mergeCell ref="I135:I136"/>
    <mergeCell ref="F137:F138"/>
    <mergeCell ref="G137:G138"/>
    <mergeCell ref="H137:H138"/>
    <mergeCell ref="I137:I138"/>
    <mergeCell ref="F131:F132"/>
    <mergeCell ref="G131:G132"/>
    <mergeCell ref="H131:H132"/>
    <mergeCell ref="I131:I132"/>
    <mergeCell ref="F133:F134"/>
    <mergeCell ref="G133:G134"/>
    <mergeCell ref="H133:H134"/>
    <mergeCell ref="I133:I134"/>
    <mergeCell ref="F139:F140"/>
    <mergeCell ref="G139:G140"/>
    <mergeCell ref="H139:H140"/>
    <mergeCell ref="I139:I140"/>
    <mergeCell ref="F141:F142"/>
    <mergeCell ref="G141:G142"/>
    <mergeCell ref="H141:H142"/>
    <mergeCell ref="F153:F154"/>
    <mergeCell ref="G153:G154"/>
    <mergeCell ref="H153:H154"/>
    <mergeCell ref="I153:I154"/>
    <mergeCell ref="F147:F148"/>
    <mergeCell ref="G147:G148"/>
    <mergeCell ref="H147:H148"/>
    <mergeCell ref="I147:I148"/>
    <mergeCell ref="F149:F150"/>
    <mergeCell ref="G149:G150"/>
    <mergeCell ref="H149:H150"/>
    <mergeCell ref="I149:I150"/>
    <mergeCell ref="I141:I142"/>
    <mergeCell ref="F151:F152"/>
    <mergeCell ref="G151:G152"/>
    <mergeCell ref="H151:H152"/>
    <mergeCell ref="I151:I152"/>
    <mergeCell ref="F143:F144"/>
    <mergeCell ref="G143:G144"/>
    <mergeCell ref="H143:H144"/>
    <mergeCell ref="I143:I144"/>
    <mergeCell ref="F145:F146"/>
    <mergeCell ref="G145:G146"/>
    <mergeCell ref="H145:H146"/>
    <mergeCell ref="I145:I146"/>
    <mergeCell ref="D23:D24"/>
    <mergeCell ref="D25:D26"/>
    <mergeCell ref="D27:D28"/>
    <mergeCell ref="D29:D30"/>
    <mergeCell ref="D31:D32"/>
    <mergeCell ref="D51:D52"/>
    <mergeCell ref="D63:D64"/>
    <mergeCell ref="D65:D66"/>
    <mergeCell ref="D67:D68"/>
    <mergeCell ref="D69:D70"/>
    <mergeCell ref="D71:D72"/>
    <mergeCell ref="D53:D54"/>
    <mergeCell ref="D55:D56"/>
    <mergeCell ref="D57:D58"/>
    <mergeCell ref="D59:D60"/>
    <mergeCell ref="D61:D62"/>
    <mergeCell ref="D17:D18"/>
    <mergeCell ref="D19:D20"/>
    <mergeCell ref="D21:D22"/>
    <mergeCell ref="D43:D44"/>
    <mergeCell ref="D45:D46"/>
    <mergeCell ref="D47:D48"/>
    <mergeCell ref="D49:D50"/>
    <mergeCell ref="D33:D34"/>
    <mergeCell ref="D35:D36"/>
    <mergeCell ref="D37:D38"/>
    <mergeCell ref="D39:D40"/>
    <mergeCell ref="D41:D42"/>
    <mergeCell ref="D83:D84"/>
    <mergeCell ref="D85:D86"/>
    <mergeCell ref="D87:D88"/>
    <mergeCell ref="D89:D90"/>
    <mergeCell ref="D91:D92"/>
    <mergeCell ref="D73:D74"/>
    <mergeCell ref="D75:D76"/>
    <mergeCell ref="D77:D78"/>
    <mergeCell ref="D79:D80"/>
    <mergeCell ref="D81:D82"/>
    <mergeCell ref="D103:D104"/>
    <mergeCell ref="D105:D106"/>
    <mergeCell ref="D107:D108"/>
    <mergeCell ref="D109:D110"/>
    <mergeCell ref="D111:D112"/>
    <mergeCell ref="D93:D94"/>
    <mergeCell ref="D95:D96"/>
    <mergeCell ref="D97:D98"/>
    <mergeCell ref="D99:D100"/>
    <mergeCell ref="D101:D102"/>
    <mergeCell ref="D123:D124"/>
    <mergeCell ref="D125:D126"/>
    <mergeCell ref="D127:D128"/>
    <mergeCell ref="D129:D130"/>
    <mergeCell ref="D131:D132"/>
    <mergeCell ref="D113:D114"/>
    <mergeCell ref="D115:D116"/>
    <mergeCell ref="D117:D118"/>
    <mergeCell ref="D119:D120"/>
    <mergeCell ref="D121:D122"/>
    <mergeCell ref="D153:D154"/>
    <mergeCell ref="D143:D144"/>
    <mergeCell ref="D145:D146"/>
    <mergeCell ref="D147:D148"/>
    <mergeCell ref="D149:D150"/>
    <mergeCell ref="D151:D152"/>
    <mergeCell ref="D133:D134"/>
    <mergeCell ref="D135:D136"/>
    <mergeCell ref="D137:D138"/>
    <mergeCell ref="D139:D140"/>
    <mergeCell ref="D141:D142"/>
  </mergeCells>
  <phoneticPr fontId="0" type="noConversion"/>
  <conditionalFormatting sqref="D1">
    <cfRule type="cellIs" dxfId="15" priority="5" stopIfTrue="1" operator="equal">
      <formula>"K-900"</formula>
    </cfRule>
    <cfRule type="cellIs" dxfId="14" priority="6" stopIfTrue="1" operator="equal">
      <formula>"N75"</formula>
    </cfRule>
  </conditionalFormatting>
  <conditionalFormatting sqref="B1">
    <cfRule type="cellIs" dxfId="3" priority="1" stopIfTrue="1" operator="equal">
      <formula>"K-900"</formula>
    </cfRule>
    <cfRule type="cellIs" dxfId="2" priority="2" stopIfTrue="1" operator="equal">
      <formula>"N75"</formula>
    </cfRule>
  </conditionalFormatting>
  <pageMargins left="0.75" right="0.75" top="1" bottom="1" header="0.5" footer="0.5"/>
  <pageSetup paperSize="9" orientation="landscape" horizontalDpi="4294967292" r:id="rId1"/>
  <headerFooter alignWithMargins="0"/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2:E47"/>
  <sheetViews>
    <sheetView zoomScaleNormal="100" workbookViewId="0">
      <pane xSplit="1" topLeftCell="B1" activePane="topRight" state="frozenSplit"/>
      <selection pane="topRight" activeCell="G9" sqref="G9"/>
    </sheetView>
  </sheetViews>
  <sheetFormatPr defaultRowHeight="12.75" x14ac:dyDescent="0.2"/>
  <cols>
    <col min="1" max="1" width="52" customWidth="1"/>
    <col min="2" max="2" width="16" customWidth="1"/>
  </cols>
  <sheetData>
    <row r="2" spans="1:4" x14ac:dyDescent="0.2">
      <c r="A2" s="36" t="s">
        <v>10</v>
      </c>
      <c r="B2" s="56" t="s">
        <v>196</v>
      </c>
    </row>
    <row r="3" spans="1:4" x14ac:dyDescent="0.2">
      <c r="A3" s="2" t="s">
        <v>2</v>
      </c>
      <c r="B3" s="57" t="s">
        <v>197</v>
      </c>
    </row>
    <row r="4" spans="1:4" x14ac:dyDescent="0.2">
      <c r="A4" s="89" t="s">
        <v>188</v>
      </c>
      <c r="B4" s="123">
        <v>8.3333333333333329E-2</v>
      </c>
    </row>
    <row r="5" spans="1:4" x14ac:dyDescent="0.2">
      <c r="A5" s="89" t="s">
        <v>187</v>
      </c>
      <c r="B5" s="123">
        <v>3.9166666666666665</v>
      </c>
    </row>
    <row r="6" spans="1:4" x14ac:dyDescent="0.2">
      <c r="A6" s="89" t="s">
        <v>179</v>
      </c>
      <c r="B6" s="123">
        <v>2</v>
      </c>
    </row>
    <row r="7" spans="1:4" ht="25.5" x14ac:dyDescent="0.2">
      <c r="A7" s="89" t="s">
        <v>180</v>
      </c>
      <c r="B7" s="123">
        <v>6</v>
      </c>
    </row>
    <row r="8" spans="1:4" x14ac:dyDescent="0.2">
      <c r="A8" s="89" t="s">
        <v>181</v>
      </c>
      <c r="B8" s="123">
        <v>28</v>
      </c>
    </row>
    <row r="9" spans="1:4" ht="25.5" x14ac:dyDescent="0.2">
      <c r="A9" s="89" t="s">
        <v>182</v>
      </c>
      <c r="B9" s="123">
        <v>7</v>
      </c>
    </row>
    <row r="10" spans="1:4" x14ac:dyDescent="0.2">
      <c r="A10" s="89" t="s">
        <v>183</v>
      </c>
      <c r="B10" s="123">
        <v>35.020833333333336</v>
      </c>
    </row>
    <row r="11" spans="1:4" ht="38.25" x14ac:dyDescent="0.2">
      <c r="A11" s="89" t="s">
        <v>184</v>
      </c>
      <c r="B11" s="123">
        <v>8.0208333333333339</v>
      </c>
    </row>
    <row r="12" spans="1:4" x14ac:dyDescent="0.2">
      <c r="A12" s="89" t="s">
        <v>185</v>
      </c>
      <c r="B12" s="123">
        <v>40</v>
      </c>
    </row>
    <row r="13" spans="1:4" ht="25.5" x14ac:dyDescent="0.2">
      <c r="A13" s="89" t="s">
        <v>186</v>
      </c>
      <c r="B13" s="123">
        <v>15</v>
      </c>
      <c r="D13" s="100"/>
    </row>
    <row r="14" spans="1:4" x14ac:dyDescent="0.2">
      <c r="A14" s="1"/>
    </row>
    <row r="15" spans="1:4" x14ac:dyDescent="0.2">
      <c r="A15" s="38" t="s">
        <v>8</v>
      </c>
      <c r="B15" s="36">
        <f>+'Cost data'!B6</f>
        <v>5500</v>
      </c>
    </row>
    <row r="16" spans="1:4" x14ac:dyDescent="0.2">
      <c r="A16" s="1" t="s">
        <v>3</v>
      </c>
      <c r="B16" s="88">
        <f>SUM(B4,B6,B8,B10,B12)</f>
        <v>105.10416666666667</v>
      </c>
    </row>
    <row r="17" spans="1:5" x14ac:dyDescent="0.2">
      <c r="A17" t="s">
        <v>5</v>
      </c>
      <c r="B17" s="37">
        <f>B18-B16</f>
        <v>39.937500000000014</v>
      </c>
    </row>
    <row r="18" spans="1:5" ht="12.75" customHeight="1" x14ac:dyDescent="0.2">
      <c r="A18" s="36" t="s">
        <v>4</v>
      </c>
      <c r="B18" s="7">
        <f>SUM(B4:B13)</f>
        <v>145.04166666666669</v>
      </c>
      <c r="C18" s="99"/>
    </row>
    <row r="19" spans="1:5" x14ac:dyDescent="0.2">
      <c r="A19" t="s">
        <v>13</v>
      </c>
      <c r="B19" s="26">
        <f>SUM(B20:B21)</f>
        <v>145.04166666666669</v>
      </c>
    </row>
    <row r="20" spans="1:5" x14ac:dyDescent="0.2">
      <c r="A20" t="s">
        <v>15</v>
      </c>
      <c r="B20" s="26">
        <f>ABS(B13)</f>
        <v>15</v>
      </c>
    </row>
    <row r="21" spans="1:5" x14ac:dyDescent="0.2">
      <c r="A21" t="s">
        <v>12</v>
      </c>
      <c r="B21" s="35">
        <f>ABS(B18-B20)</f>
        <v>130.04166666666669</v>
      </c>
    </row>
    <row r="22" spans="1:5" x14ac:dyDescent="0.2">
      <c r="A22" t="s">
        <v>14</v>
      </c>
      <c r="B22" s="35">
        <v>0</v>
      </c>
    </row>
    <row r="23" spans="1:5" ht="11.25" customHeight="1" x14ac:dyDescent="0.2"/>
    <row r="24" spans="1:5" x14ac:dyDescent="0.2">
      <c r="A24" s="1" t="s">
        <v>9</v>
      </c>
      <c r="B24" s="3">
        <f>B15/(B16*24)</f>
        <v>2.180376610505451</v>
      </c>
    </row>
    <row r="25" spans="1:5" x14ac:dyDescent="0.2">
      <c r="A25" s="90" t="s">
        <v>189</v>
      </c>
      <c r="B25" s="3">
        <f>20/(B4*24)</f>
        <v>10</v>
      </c>
    </row>
    <row r="26" spans="1:5" x14ac:dyDescent="0.2">
      <c r="A26" s="90" t="s">
        <v>190</v>
      </c>
      <c r="B26" s="3">
        <f>180/(B6*24)</f>
        <v>3.75</v>
      </c>
    </row>
    <row r="27" spans="1:5" x14ac:dyDescent="0.2">
      <c r="A27" s="90" t="s">
        <v>191</v>
      </c>
      <c r="B27" s="3">
        <f>2200/(B8*24)</f>
        <v>3.2738095238095237</v>
      </c>
      <c r="E27" s="65"/>
    </row>
    <row r="28" spans="1:5" x14ac:dyDescent="0.2">
      <c r="A28" s="90" t="s">
        <v>193</v>
      </c>
      <c r="B28" s="3">
        <f>2450/(B10*24)</f>
        <v>2.9149315883402735</v>
      </c>
    </row>
    <row r="29" spans="1:5" x14ac:dyDescent="0.2">
      <c r="A29" s="90" t="s">
        <v>192</v>
      </c>
      <c r="B29" s="3">
        <f>600/(B12*24)</f>
        <v>0.625</v>
      </c>
      <c r="C29" s="58" t="s">
        <v>194</v>
      </c>
    </row>
    <row r="30" spans="1:5" x14ac:dyDescent="0.2">
      <c r="A30" s="24"/>
    </row>
    <row r="31" spans="1:5" x14ac:dyDescent="0.2">
      <c r="A31" s="14"/>
    </row>
    <row r="32" spans="1:5" x14ac:dyDescent="0.2">
      <c r="A32" s="17"/>
      <c r="B32" s="10"/>
    </row>
    <row r="33" spans="1:2" x14ac:dyDescent="0.2">
      <c r="A33" s="20"/>
      <c r="B33" s="9"/>
    </row>
    <row r="34" spans="1:2" x14ac:dyDescent="0.2">
      <c r="A34" s="15"/>
      <c r="B34" s="9"/>
    </row>
    <row r="35" spans="1:2" x14ac:dyDescent="0.2">
      <c r="A35" s="19"/>
    </row>
    <row r="36" spans="1:2" x14ac:dyDescent="0.2">
      <c r="A36" s="18"/>
    </row>
    <row r="37" spans="1:2" x14ac:dyDescent="0.2">
      <c r="A37" s="15"/>
    </row>
    <row r="38" spans="1:2" x14ac:dyDescent="0.2">
      <c r="A38" s="19"/>
    </row>
    <row r="39" spans="1:2" x14ac:dyDescent="0.2">
      <c r="A39" s="18"/>
    </row>
    <row r="40" spans="1:2" x14ac:dyDescent="0.2">
      <c r="A40" s="13"/>
    </row>
    <row r="41" spans="1:2" x14ac:dyDescent="0.2">
      <c r="A41" s="13"/>
    </row>
    <row r="42" spans="1:2" x14ac:dyDescent="0.2">
      <c r="A42" s="21"/>
    </row>
    <row r="43" spans="1:2" x14ac:dyDescent="0.2">
      <c r="A43" s="18"/>
    </row>
    <row r="44" spans="1:2" x14ac:dyDescent="0.2">
      <c r="A44" s="22"/>
    </row>
    <row r="45" spans="1:2" x14ac:dyDescent="0.2">
      <c r="A45" s="23"/>
    </row>
    <row r="46" spans="1:2" x14ac:dyDescent="0.2">
      <c r="A46" s="16"/>
    </row>
    <row r="47" spans="1:2" x14ac:dyDescent="0.2">
      <c r="A47" s="16"/>
    </row>
  </sheetData>
  <phoneticPr fontId="0" type="noConversion"/>
  <conditionalFormatting sqref="B2">
    <cfRule type="cellIs" dxfId="7" priority="1" stopIfTrue="1" operator="equal">
      <formula>"K-900"</formula>
    </cfRule>
    <cfRule type="cellIs" dxfId="6" priority="2" stopIfTrue="1" operator="equal">
      <formula>"N75"</formula>
    </cfRule>
  </conditionalFormatting>
  <pageMargins left="0.75" right="0.75" top="1" bottom="1" header="0.5" footer="0.5"/>
  <pageSetup paperSize="9" scale="75" orientation="landscape" r:id="rId1"/>
  <headerFooter alignWithMargins="0"/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F37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3" sqref="D23"/>
    </sheetView>
  </sheetViews>
  <sheetFormatPr defaultRowHeight="12.75" x14ac:dyDescent="0.2"/>
  <cols>
    <col min="1" max="1" width="35" bestFit="1" customWidth="1"/>
    <col min="2" max="2" width="15" customWidth="1"/>
    <col min="3" max="4" width="12.85546875" bestFit="1" customWidth="1"/>
    <col min="5" max="9" width="12.28515625" bestFit="1" customWidth="1"/>
    <col min="10" max="13" width="10.5703125" bestFit="1" customWidth="1"/>
    <col min="14" max="14" width="12.28515625" bestFit="1" customWidth="1"/>
    <col min="15" max="16" width="10.5703125" bestFit="1" customWidth="1"/>
    <col min="17" max="17" width="12.28515625" bestFit="1" customWidth="1"/>
    <col min="18" max="18" width="12.42578125" bestFit="1" customWidth="1"/>
    <col min="19" max="19" width="11.28515625" bestFit="1" customWidth="1"/>
    <col min="21" max="21" width="11.28515625" bestFit="1" customWidth="1"/>
    <col min="22" max="24" width="12.85546875" bestFit="1" customWidth="1"/>
    <col min="25" max="25" width="10.28515625" bestFit="1" customWidth="1"/>
    <col min="26" max="26" width="12.85546875" bestFit="1" customWidth="1"/>
  </cols>
  <sheetData>
    <row r="1" spans="1:6" x14ac:dyDescent="0.2">
      <c r="A1" s="4" t="s">
        <v>26</v>
      </c>
    </row>
    <row r="2" spans="1:6" x14ac:dyDescent="0.2">
      <c r="A2" s="4"/>
      <c r="B2" s="86" t="s">
        <v>157</v>
      </c>
    </row>
    <row r="3" spans="1:6" x14ac:dyDescent="0.2">
      <c r="A3" s="4"/>
      <c r="B3" s="56" t="s">
        <v>196</v>
      </c>
    </row>
    <row r="4" spans="1:6" x14ac:dyDescent="0.2">
      <c r="A4" s="4"/>
      <c r="B4" s="57" t="s">
        <v>197</v>
      </c>
    </row>
    <row r="5" spans="1:6" x14ac:dyDescent="0.2">
      <c r="A5" s="4"/>
      <c r="B5" s="8"/>
    </row>
    <row r="6" spans="1:6" x14ac:dyDescent="0.2">
      <c r="A6" s="4" t="s">
        <v>16</v>
      </c>
      <c r="B6">
        <v>5500</v>
      </c>
    </row>
    <row r="7" spans="1:6" x14ac:dyDescent="0.2">
      <c r="A7" s="2"/>
    </row>
    <row r="8" spans="1:6" x14ac:dyDescent="0.2">
      <c r="A8" s="27" t="s">
        <v>23</v>
      </c>
      <c r="B8" s="5">
        <v>2500000</v>
      </c>
      <c r="C8" s="5"/>
      <c r="D8" s="5"/>
      <c r="E8" s="5"/>
      <c r="F8" s="5"/>
    </row>
    <row r="9" spans="1:6" x14ac:dyDescent="0.2">
      <c r="A9" t="s">
        <v>17</v>
      </c>
      <c r="B9" s="5">
        <v>250000</v>
      </c>
      <c r="C9" s="5"/>
      <c r="D9" s="5"/>
      <c r="E9" s="5"/>
      <c r="F9" s="5"/>
    </row>
    <row r="10" spans="1:6" x14ac:dyDescent="0.2">
      <c r="A10" t="s">
        <v>18</v>
      </c>
      <c r="B10" s="5">
        <v>1650000</v>
      </c>
      <c r="C10" s="5"/>
      <c r="D10" s="5"/>
      <c r="E10" s="5"/>
      <c r="F10" s="5"/>
    </row>
    <row r="11" spans="1:6" x14ac:dyDescent="0.2">
      <c r="A11" t="s">
        <v>19</v>
      </c>
      <c r="B11" s="5">
        <v>700000</v>
      </c>
      <c r="C11" s="5"/>
      <c r="D11" s="5"/>
      <c r="E11" s="5"/>
      <c r="F11" s="5"/>
    </row>
    <row r="12" spans="1:6" x14ac:dyDescent="0.2">
      <c r="A12" t="s">
        <v>166</v>
      </c>
      <c r="B12" s="5">
        <v>4000000</v>
      </c>
      <c r="C12" s="5"/>
      <c r="D12" s="5"/>
      <c r="E12" s="5"/>
      <c r="F12" s="5"/>
    </row>
    <row r="13" spans="1:6" x14ac:dyDescent="0.2">
      <c r="A13" t="s">
        <v>20</v>
      </c>
      <c r="B13" s="5">
        <v>500000</v>
      </c>
      <c r="C13" s="5"/>
      <c r="D13" s="5"/>
      <c r="E13" s="5"/>
      <c r="F13" s="5"/>
    </row>
    <row r="14" spans="1:6" x14ac:dyDescent="0.2">
      <c r="A14" t="s">
        <v>21</v>
      </c>
      <c r="B14" s="5">
        <v>0</v>
      </c>
      <c r="C14" s="5"/>
      <c r="D14" s="5"/>
      <c r="E14" s="5"/>
      <c r="F14" s="5"/>
    </row>
    <row r="15" spans="1:6" x14ac:dyDescent="0.2">
      <c r="A15" t="s">
        <v>31</v>
      </c>
      <c r="B15" s="5">
        <v>5292500</v>
      </c>
      <c r="C15" s="5"/>
      <c r="D15" s="5"/>
      <c r="E15" s="5"/>
      <c r="F15" s="5"/>
    </row>
    <row r="16" spans="1:6" x14ac:dyDescent="0.2">
      <c r="A16" t="s">
        <v>167</v>
      </c>
      <c r="B16" s="62">
        <v>2500000</v>
      </c>
      <c r="C16" s="5"/>
      <c r="D16" s="5"/>
      <c r="E16" s="5"/>
      <c r="F16" s="5"/>
    </row>
    <row r="17" spans="1:6" x14ac:dyDescent="0.2">
      <c r="A17" t="s">
        <v>168</v>
      </c>
      <c r="B17" s="62">
        <v>350000</v>
      </c>
      <c r="C17" s="5"/>
      <c r="D17" s="5"/>
      <c r="E17" s="5"/>
      <c r="F17" s="5"/>
    </row>
    <row r="18" spans="1:6" x14ac:dyDescent="0.2">
      <c r="A18" t="s">
        <v>169</v>
      </c>
      <c r="B18" s="62">
        <v>2100000</v>
      </c>
      <c r="C18" s="5"/>
      <c r="D18" s="5"/>
      <c r="E18" s="5"/>
      <c r="F18" s="5"/>
    </row>
    <row r="19" spans="1:6" x14ac:dyDescent="0.2">
      <c r="A19" t="s">
        <v>170</v>
      </c>
      <c r="B19" s="62">
        <v>1000000</v>
      </c>
      <c r="C19" s="5"/>
      <c r="D19" s="5"/>
      <c r="E19" s="5"/>
      <c r="F19" s="5"/>
    </row>
    <row r="20" spans="1:6" x14ac:dyDescent="0.2">
      <c r="A20" t="s">
        <v>171</v>
      </c>
      <c r="B20" s="62">
        <v>1200000</v>
      </c>
      <c r="C20" s="5"/>
      <c r="D20" s="5"/>
      <c r="E20" s="5"/>
      <c r="F20" s="5"/>
    </row>
    <row r="21" spans="1:6" x14ac:dyDescent="0.2">
      <c r="A21" t="s">
        <v>172</v>
      </c>
      <c r="B21" s="62">
        <v>800000</v>
      </c>
      <c r="C21" s="5"/>
      <c r="D21" s="5"/>
      <c r="E21" s="5"/>
      <c r="F21" s="5"/>
    </row>
    <row r="22" spans="1:6" x14ac:dyDescent="0.2">
      <c r="A22" t="s">
        <v>173</v>
      </c>
      <c r="B22" s="62">
        <v>220000</v>
      </c>
      <c r="C22" s="5"/>
      <c r="D22" s="5"/>
      <c r="E22" s="5"/>
      <c r="F22" s="5"/>
    </row>
    <row r="23" spans="1:6" x14ac:dyDescent="0.2">
      <c r="A23" t="s">
        <v>174</v>
      </c>
      <c r="B23" s="62">
        <v>180000</v>
      </c>
      <c r="C23" s="5"/>
      <c r="D23" s="5"/>
      <c r="E23" s="5"/>
      <c r="F23" s="5"/>
    </row>
    <row r="24" spans="1:6" x14ac:dyDescent="0.2">
      <c r="A24" t="s">
        <v>175</v>
      </c>
      <c r="B24" s="62">
        <v>1650000</v>
      </c>
      <c r="C24" s="5"/>
      <c r="D24" s="5"/>
      <c r="E24" s="5"/>
      <c r="F24" s="5"/>
    </row>
    <row r="25" spans="1:6" x14ac:dyDescent="0.2">
      <c r="A25" t="s">
        <v>176</v>
      </c>
      <c r="B25" s="62">
        <v>150000</v>
      </c>
      <c r="C25" s="5"/>
      <c r="D25" s="5"/>
      <c r="E25" s="5"/>
      <c r="F25" s="5"/>
    </row>
    <row r="26" spans="1:6" x14ac:dyDescent="0.2">
      <c r="A26" t="s">
        <v>177</v>
      </c>
      <c r="B26" s="62">
        <v>400000</v>
      </c>
      <c r="C26" s="5"/>
      <c r="D26" s="5"/>
      <c r="E26" s="5"/>
      <c r="F26" s="5"/>
    </row>
    <row r="27" spans="1:6" x14ac:dyDescent="0.2">
      <c r="A27" t="s">
        <v>178</v>
      </c>
      <c r="B27" s="62">
        <v>650000</v>
      </c>
      <c r="C27" s="5"/>
      <c r="D27" s="5"/>
      <c r="E27" s="5"/>
      <c r="F27" s="5"/>
    </row>
    <row r="28" spans="1:6" ht="13.5" thickBot="1" x14ac:dyDescent="0.25">
      <c r="A28" s="28" t="s">
        <v>11</v>
      </c>
      <c r="B28" s="28">
        <f>SUM(B8:B27)</f>
        <v>26092500</v>
      </c>
    </row>
    <row r="29" spans="1:6" ht="5.25" customHeight="1" thickTop="1" x14ac:dyDescent="0.2">
      <c r="A29" s="4"/>
    </row>
    <row r="30" spans="1:6" x14ac:dyDescent="0.2">
      <c r="A30" s="1" t="s">
        <v>1</v>
      </c>
      <c r="B30" s="29">
        <f>B28/B6</f>
        <v>4744.090909090909</v>
      </c>
    </row>
    <row r="31" spans="1:6" ht="6" customHeight="1" x14ac:dyDescent="0.2"/>
    <row r="32" spans="1:6" x14ac:dyDescent="0.2">
      <c r="A32" t="s">
        <v>6</v>
      </c>
      <c r="B32" s="30">
        <f>B28</f>
        <v>26092500</v>
      </c>
    </row>
    <row r="33" spans="1:4" x14ac:dyDescent="0.2">
      <c r="A33" t="s">
        <v>7</v>
      </c>
      <c r="B33" s="30">
        <f>B32</f>
        <v>26092500</v>
      </c>
    </row>
    <row r="34" spans="1:4" x14ac:dyDescent="0.2">
      <c r="A34" s="6"/>
      <c r="B34" s="83">
        <f>B33-B32</f>
        <v>0</v>
      </c>
    </row>
    <row r="35" spans="1:4" x14ac:dyDescent="0.2">
      <c r="A35" s="58" t="s">
        <v>195</v>
      </c>
      <c r="B35" s="25">
        <f>+B33/B6</f>
        <v>4744.090909090909</v>
      </c>
      <c r="D35" s="82"/>
    </row>
    <row r="37" spans="1:4" x14ac:dyDescent="0.2">
      <c r="B37" s="25"/>
    </row>
  </sheetData>
  <phoneticPr fontId="0" type="noConversion"/>
  <conditionalFormatting sqref="B3">
    <cfRule type="cellIs" dxfId="9" priority="1" stopIfTrue="1" operator="equal">
      <formula>"K-900"</formula>
    </cfRule>
    <cfRule type="cellIs" dxfId="8" priority="2" stopIfTrue="1" operator="equal">
      <formula>"N75"</formula>
    </cfRule>
  </conditionalFormatting>
  <pageMargins left="0.75" right="0.75" top="0.56000000000000005" bottom="0.53" header="0.5" footer="0.5"/>
  <pageSetup paperSize="9" scale="40" orientation="landscape" horizontalDpi="4294967292" r:id="rId1"/>
  <headerFooter alignWithMargins="0"/>
  <customProperties>
    <customPr name="DVSECTION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V7"/>
  <sheetViews>
    <sheetView workbookViewId="0">
      <selection activeCell="B7" sqref="B7"/>
    </sheetView>
  </sheetViews>
  <sheetFormatPr defaultRowHeight="12.75" x14ac:dyDescent="0.2"/>
  <sheetData>
    <row r="1" spans="1:256" x14ac:dyDescent="0.2">
      <c r="A1" t="e">
        <f>IF('Chart data'!1:1,"AAAAAH3PfwA=",0)</f>
        <v>#VALUE!</v>
      </c>
      <c r="B1" t="e">
        <f>AND('Chart data'!A1,"AAAAAH3PfwE=")</f>
        <v>#VALUE!</v>
      </c>
      <c r="C1" t="e">
        <f>AND('Chart data'!B1,"AAAAAH3PfwI=")</f>
        <v>#VALUE!</v>
      </c>
      <c r="D1" t="e">
        <f>AND('Chart data'!#REF!,"AAAAAH3PfwM=")</f>
        <v>#REF!</v>
      </c>
      <c r="E1" t="e">
        <f>AND('Chart data'!#REF!,"AAAAAH3PfwQ=")</f>
        <v>#REF!</v>
      </c>
      <c r="F1" t="e">
        <f>AND('Chart data'!#REF!,"AAAAAH3PfwU=")</f>
        <v>#REF!</v>
      </c>
      <c r="G1" t="e">
        <f>AND('Chart data'!#REF!,"AAAAAH3PfwY=")</f>
        <v>#REF!</v>
      </c>
      <c r="H1">
        <f>IF('Chart data'!2:2,"AAAAAH3Pfwc=",0)</f>
        <v>0</v>
      </c>
      <c r="I1" t="e">
        <f>AND('Chart data'!A2,"AAAAAH3Pfwg=")</f>
        <v>#VALUE!</v>
      </c>
      <c r="J1" t="e">
        <f>AND('Chart data'!B2,"AAAAAH3Pfwk=")</f>
        <v>#VALUE!</v>
      </c>
      <c r="K1" t="e">
        <f>AND('Chart data'!#REF!,"AAAAAH3Pfwo=")</f>
        <v>#REF!</v>
      </c>
      <c r="L1" t="e">
        <f>AND('Chart data'!#REF!,"AAAAAH3Pfws=")</f>
        <v>#REF!</v>
      </c>
      <c r="M1" t="e">
        <f>AND('Chart data'!#REF!,"AAAAAH3Pfww=")</f>
        <v>#REF!</v>
      </c>
      <c r="N1" t="e">
        <f>AND('Chart data'!#REF!,"AAAAAH3Pfw0=")</f>
        <v>#REF!</v>
      </c>
      <c r="O1">
        <f>IF('Chart data'!3:3,"AAAAAH3Pfw4=",0)</f>
        <v>0</v>
      </c>
      <c r="P1" t="e">
        <f>AND('Chart data'!A3,"AAAAAH3Pfw8=")</f>
        <v>#VALUE!</v>
      </c>
      <c r="Q1" t="e">
        <f>AND('Chart data'!B3,"AAAAAH3PfxA=")</f>
        <v>#VALUE!</v>
      </c>
      <c r="R1" t="e">
        <f>AND('Chart data'!#REF!,"AAAAAH3PfxE=")</f>
        <v>#REF!</v>
      </c>
      <c r="S1" t="e">
        <f>AND('Chart data'!#REF!,"AAAAAH3PfxI=")</f>
        <v>#REF!</v>
      </c>
      <c r="T1" t="e">
        <f>AND('Chart data'!#REF!,"AAAAAH3PfxM=")</f>
        <v>#REF!</v>
      </c>
      <c r="U1" t="e">
        <f>AND('Chart data'!#REF!,"AAAAAH3PfxQ=")</f>
        <v>#REF!</v>
      </c>
      <c r="V1">
        <f>IF('Chart data'!4:4,"AAAAAH3PfxU=",0)</f>
        <v>0</v>
      </c>
      <c r="W1" t="e">
        <f>AND('Chart data'!A4,"AAAAAH3PfxY=")</f>
        <v>#VALUE!</v>
      </c>
      <c r="X1" t="e">
        <f>AND('Chart data'!B4,"AAAAAH3Pfxc=")</f>
        <v>#VALUE!</v>
      </c>
      <c r="Y1" t="e">
        <f>AND('Chart data'!#REF!,"AAAAAH3Pfxg=")</f>
        <v>#REF!</v>
      </c>
      <c r="Z1" t="e">
        <f>AND('Chart data'!#REF!,"AAAAAH3Pfxk=")</f>
        <v>#REF!</v>
      </c>
      <c r="AA1" t="e">
        <f>AND('Chart data'!#REF!,"AAAAAH3Pfxo=")</f>
        <v>#REF!</v>
      </c>
      <c r="AB1" t="e">
        <f>AND('Chart data'!#REF!,"AAAAAH3Pfxs=")</f>
        <v>#REF!</v>
      </c>
      <c r="AC1">
        <f>IF('Chart data'!5:5,"AAAAAH3Pfxw=",0)</f>
        <v>0</v>
      </c>
      <c r="AD1" t="e">
        <f>AND('Chart data'!A5,"AAAAAH3Pfx0=")</f>
        <v>#VALUE!</v>
      </c>
      <c r="AE1" t="e">
        <f>AND('Chart data'!B5,"AAAAAH3Pfx4=")</f>
        <v>#VALUE!</v>
      </c>
      <c r="AF1" t="e">
        <f>AND('Chart data'!#REF!,"AAAAAH3Pfx8=")</f>
        <v>#REF!</v>
      </c>
      <c r="AG1" t="e">
        <f>AND('Chart data'!#REF!,"AAAAAH3PfyA=")</f>
        <v>#REF!</v>
      </c>
      <c r="AH1" t="e">
        <f>AND('Chart data'!#REF!,"AAAAAH3PfyE=")</f>
        <v>#REF!</v>
      </c>
      <c r="AI1" t="e">
        <f>AND('Chart data'!#REF!,"AAAAAH3PfyI=")</f>
        <v>#REF!</v>
      </c>
      <c r="AJ1">
        <f>IF('Chart data'!6:6,"AAAAAH3PfyM=",0)</f>
        <v>0</v>
      </c>
      <c r="AK1" t="e">
        <f>AND('Chart data'!A6,"AAAAAH3PfyQ=")</f>
        <v>#VALUE!</v>
      </c>
      <c r="AL1" t="e">
        <f>AND('Chart data'!B6,"AAAAAH3PfyU=")</f>
        <v>#VALUE!</v>
      </c>
      <c r="AM1" t="e">
        <f>AND('Chart data'!#REF!,"AAAAAH3PfyY=")</f>
        <v>#REF!</v>
      </c>
      <c r="AN1" t="e">
        <f>AND('Chart data'!#REF!,"AAAAAH3Pfyc=")</f>
        <v>#REF!</v>
      </c>
      <c r="AO1" t="e">
        <f>AND('Chart data'!#REF!,"AAAAAH3Pfyg=")</f>
        <v>#REF!</v>
      </c>
      <c r="AP1" t="e">
        <f>AND('Chart data'!#REF!,"AAAAAH3Pfyk=")</f>
        <v>#REF!</v>
      </c>
      <c r="AQ1">
        <f>IF('Chart data'!7:7,"AAAAAH3Pfyo=",0)</f>
        <v>0</v>
      </c>
      <c r="AR1" t="e">
        <f>AND('Chart data'!A7,"AAAAAH3Pfys=")</f>
        <v>#VALUE!</v>
      </c>
      <c r="AS1" t="e">
        <f>AND('Chart data'!B7,"AAAAAH3Pfyw=")</f>
        <v>#VALUE!</v>
      </c>
      <c r="AT1" t="e">
        <f>AND('Chart data'!#REF!,"AAAAAH3Pfy0=")</f>
        <v>#REF!</v>
      </c>
      <c r="AU1" t="e">
        <f>AND('Chart data'!#REF!,"AAAAAH3Pfy4=")</f>
        <v>#REF!</v>
      </c>
      <c r="AV1" t="e">
        <f>AND('Chart data'!#REF!,"AAAAAH3Pfy8=")</f>
        <v>#REF!</v>
      </c>
      <c r="AW1" t="e">
        <f>AND('Chart data'!#REF!,"AAAAAH3PfzA=")</f>
        <v>#REF!</v>
      </c>
      <c r="AX1">
        <f>IF('Chart data'!8:8,"AAAAAH3PfzE=",0)</f>
        <v>0</v>
      </c>
      <c r="AY1" t="e">
        <f>AND('Chart data'!A8,"AAAAAH3PfzI=")</f>
        <v>#VALUE!</v>
      </c>
      <c r="AZ1" t="e">
        <f>AND('Chart data'!B8,"AAAAAH3PfzM=")</f>
        <v>#VALUE!</v>
      </c>
      <c r="BA1" t="e">
        <f>AND('Chart data'!#REF!,"AAAAAH3PfzQ=")</f>
        <v>#REF!</v>
      </c>
      <c r="BB1" t="e">
        <f>AND('Chart data'!#REF!,"AAAAAH3PfzU=")</f>
        <v>#REF!</v>
      </c>
      <c r="BC1" t="e">
        <f>AND('Chart data'!#REF!,"AAAAAH3PfzY=")</f>
        <v>#REF!</v>
      </c>
      <c r="BD1" t="e">
        <f>AND('Chart data'!#REF!,"AAAAAH3Pfzc=")</f>
        <v>#REF!</v>
      </c>
      <c r="BE1">
        <f>IF('Chart data'!9:9,"AAAAAH3Pfzg=",0)</f>
        <v>0</v>
      </c>
      <c r="BF1" t="e">
        <f>AND('Chart data'!A9,"AAAAAH3Pfzk=")</f>
        <v>#VALUE!</v>
      </c>
      <c r="BG1" t="e">
        <f>AND('Chart data'!B9,"AAAAAH3Pfzo=")</f>
        <v>#VALUE!</v>
      </c>
      <c r="BH1" t="e">
        <f>AND('Chart data'!#REF!,"AAAAAH3Pfzs=")</f>
        <v>#REF!</v>
      </c>
      <c r="BI1" t="e">
        <f>AND('Chart data'!#REF!,"AAAAAH3Pfzw=")</f>
        <v>#REF!</v>
      </c>
      <c r="BJ1" t="e">
        <f>AND('Chart data'!#REF!,"AAAAAH3Pfz0=")</f>
        <v>#REF!</v>
      </c>
      <c r="BK1" t="e">
        <f>AND('Chart data'!#REF!,"AAAAAH3Pfz4=")</f>
        <v>#REF!</v>
      </c>
      <c r="BL1">
        <f>IF('Chart data'!10:10,"AAAAAH3Pfz8=",0)</f>
        <v>0</v>
      </c>
      <c r="BM1" t="e">
        <f>AND('Chart data'!A10,"AAAAAH3Pf0A=")</f>
        <v>#VALUE!</v>
      </c>
      <c r="BN1" t="e">
        <f>AND('Chart data'!B10,"AAAAAH3Pf0E=")</f>
        <v>#VALUE!</v>
      </c>
      <c r="BO1" t="e">
        <f>AND('Chart data'!#REF!,"AAAAAH3Pf0I=")</f>
        <v>#REF!</v>
      </c>
      <c r="BP1" t="e">
        <f>AND('Chart data'!#REF!,"AAAAAH3Pf0M=")</f>
        <v>#REF!</v>
      </c>
      <c r="BQ1" t="e">
        <f>AND('Chart data'!#REF!,"AAAAAH3Pf0Q=")</f>
        <v>#REF!</v>
      </c>
      <c r="BR1" t="e">
        <f>AND('Chart data'!#REF!,"AAAAAH3Pf0U=")</f>
        <v>#REF!</v>
      </c>
      <c r="BS1">
        <f>IF('Chart data'!11:11,"AAAAAH3Pf0Y=",0)</f>
        <v>0</v>
      </c>
      <c r="BT1" t="e">
        <f>AND('Chart data'!A11,"AAAAAH3Pf0c=")</f>
        <v>#VALUE!</v>
      </c>
      <c r="BU1" t="e">
        <f>AND('Chart data'!B11,"AAAAAH3Pf0g=")</f>
        <v>#VALUE!</v>
      </c>
      <c r="BV1" t="e">
        <f>AND('Chart data'!#REF!,"AAAAAH3Pf0k=")</f>
        <v>#REF!</v>
      </c>
      <c r="BW1" t="e">
        <f>AND('Chart data'!#REF!,"AAAAAH3Pf0o=")</f>
        <v>#REF!</v>
      </c>
      <c r="BX1" t="e">
        <f>AND('Chart data'!#REF!,"AAAAAH3Pf0s=")</f>
        <v>#REF!</v>
      </c>
      <c r="BY1" t="e">
        <f>AND('Chart data'!#REF!,"AAAAAH3Pf0w=")</f>
        <v>#REF!</v>
      </c>
      <c r="BZ1">
        <f>IF('Chart data'!12:12,"AAAAAH3Pf00=",0)</f>
        <v>0</v>
      </c>
      <c r="CA1" t="e">
        <f>AND('Chart data'!A12,"AAAAAH3Pf04=")</f>
        <v>#VALUE!</v>
      </c>
      <c r="CB1" t="e">
        <f>AND('Chart data'!B12,"AAAAAH3Pf08=")</f>
        <v>#VALUE!</v>
      </c>
      <c r="CC1" t="e">
        <f>AND('Chart data'!#REF!,"AAAAAH3Pf1A=")</f>
        <v>#REF!</v>
      </c>
      <c r="CD1" t="e">
        <f>AND('Chart data'!#REF!,"AAAAAH3Pf1E=")</f>
        <v>#REF!</v>
      </c>
      <c r="CE1" t="e">
        <f>AND('Chart data'!#REF!,"AAAAAH3Pf1I=")</f>
        <v>#REF!</v>
      </c>
      <c r="CF1" t="e">
        <f>AND('Chart data'!#REF!,"AAAAAH3Pf1M=")</f>
        <v>#REF!</v>
      </c>
      <c r="CG1">
        <f>IF('Chart data'!13:13,"AAAAAH3Pf1Q=",0)</f>
        <v>0</v>
      </c>
      <c r="CH1" t="e">
        <f>AND('Chart data'!A13,"AAAAAH3Pf1U=")</f>
        <v>#VALUE!</v>
      </c>
      <c r="CI1" t="e">
        <f>AND('Chart data'!B13,"AAAAAH3Pf1Y=")</f>
        <v>#VALUE!</v>
      </c>
      <c r="CJ1" t="e">
        <f>AND('Chart data'!#REF!,"AAAAAH3Pf1c=")</f>
        <v>#REF!</v>
      </c>
      <c r="CK1" t="e">
        <f>AND('Chart data'!#REF!,"AAAAAH3Pf1g=")</f>
        <v>#REF!</v>
      </c>
      <c r="CL1" t="e">
        <f>AND('Chart data'!#REF!,"AAAAAH3Pf1k=")</f>
        <v>#REF!</v>
      </c>
      <c r="CM1" t="e">
        <f>AND('Chart data'!#REF!,"AAAAAH3Pf1o=")</f>
        <v>#REF!</v>
      </c>
      <c r="CN1">
        <f>IF('Chart data'!14:14,"AAAAAH3Pf1s=",0)</f>
        <v>0</v>
      </c>
      <c r="CO1" t="e">
        <f>AND('Chart data'!A14,"AAAAAH3Pf1w=")</f>
        <v>#VALUE!</v>
      </c>
      <c r="CP1" t="e">
        <f>AND('Chart data'!B14,"AAAAAH3Pf10=")</f>
        <v>#VALUE!</v>
      </c>
      <c r="CQ1" t="e">
        <f>AND('Chart data'!#REF!,"AAAAAH3Pf14=")</f>
        <v>#REF!</v>
      </c>
      <c r="CR1" t="e">
        <f>AND('Chart data'!#REF!,"AAAAAH3Pf18=")</f>
        <v>#REF!</v>
      </c>
      <c r="CS1" t="e">
        <f>AND('Chart data'!#REF!,"AAAAAH3Pf2A=")</f>
        <v>#REF!</v>
      </c>
      <c r="CT1" t="e">
        <f>AND('Chart data'!#REF!,"AAAAAH3Pf2E=")</f>
        <v>#REF!</v>
      </c>
      <c r="CU1">
        <f>IF('Chart data'!15:15,"AAAAAH3Pf2I=",0)</f>
        <v>0</v>
      </c>
      <c r="CV1" t="e">
        <f>AND('Chart data'!A15,"AAAAAH3Pf2M=")</f>
        <v>#VALUE!</v>
      </c>
      <c r="CW1" t="e">
        <f>AND('Chart data'!B15,"AAAAAH3Pf2Q=")</f>
        <v>#VALUE!</v>
      </c>
      <c r="CX1" t="e">
        <f>AND('Chart data'!#REF!,"AAAAAH3Pf2U=")</f>
        <v>#REF!</v>
      </c>
      <c r="CY1" t="e">
        <f>AND('Chart data'!#REF!,"AAAAAH3Pf2Y=")</f>
        <v>#REF!</v>
      </c>
      <c r="CZ1" t="e">
        <f>AND('Chart data'!#REF!,"AAAAAH3Pf2c=")</f>
        <v>#REF!</v>
      </c>
      <c r="DA1" t="e">
        <f>AND('Chart data'!#REF!,"AAAAAH3Pf2g=")</f>
        <v>#REF!</v>
      </c>
      <c r="DB1">
        <f>IF('Chart data'!16:16,"AAAAAH3Pf2k=",0)</f>
        <v>0</v>
      </c>
      <c r="DC1" t="e">
        <f>AND('Chart data'!A16,"AAAAAH3Pf2o=")</f>
        <v>#VALUE!</v>
      </c>
      <c r="DD1" t="e">
        <f>AND('Chart data'!B16,"AAAAAH3Pf2s=")</f>
        <v>#VALUE!</v>
      </c>
      <c r="DE1" t="e">
        <f>AND('Chart data'!#REF!,"AAAAAH3Pf2w=")</f>
        <v>#REF!</v>
      </c>
      <c r="DF1" t="e">
        <f>AND('Chart data'!#REF!,"AAAAAH3Pf20=")</f>
        <v>#REF!</v>
      </c>
      <c r="DG1" t="e">
        <f>AND('Chart data'!#REF!,"AAAAAH3Pf24=")</f>
        <v>#REF!</v>
      </c>
      <c r="DH1" t="e">
        <f>AND('Chart data'!#REF!,"AAAAAH3Pf28=")</f>
        <v>#REF!</v>
      </c>
      <c r="DI1">
        <f>IF('Chart data'!17:17,"AAAAAH3Pf3A=",0)</f>
        <v>0</v>
      </c>
      <c r="DJ1" t="e">
        <f>AND('Chart data'!A17,"AAAAAH3Pf3E=")</f>
        <v>#VALUE!</v>
      </c>
      <c r="DK1" t="e">
        <f>AND('Chart data'!B17,"AAAAAH3Pf3I=")</f>
        <v>#VALUE!</v>
      </c>
      <c r="DL1" t="e">
        <f>AND('Chart data'!#REF!,"AAAAAH3Pf3M=")</f>
        <v>#REF!</v>
      </c>
      <c r="DM1" t="e">
        <f>AND('Chart data'!#REF!,"AAAAAH3Pf3Q=")</f>
        <v>#REF!</v>
      </c>
      <c r="DN1" t="e">
        <f>AND('Chart data'!#REF!,"AAAAAH3Pf3U=")</f>
        <v>#REF!</v>
      </c>
      <c r="DO1" t="e">
        <f>AND('Chart data'!#REF!,"AAAAAH3Pf3Y=")</f>
        <v>#REF!</v>
      </c>
      <c r="DP1">
        <f>IF('Chart data'!18:18,"AAAAAH3Pf3c=",0)</f>
        <v>0</v>
      </c>
      <c r="DQ1" t="e">
        <f>AND('Chart data'!A18,"AAAAAH3Pf3g=")</f>
        <v>#VALUE!</v>
      </c>
      <c r="DR1" t="e">
        <f>AND('Chart data'!B18,"AAAAAH3Pf3k=")</f>
        <v>#VALUE!</v>
      </c>
      <c r="DS1" t="e">
        <f>AND('Chart data'!#REF!,"AAAAAH3Pf3o=")</f>
        <v>#REF!</v>
      </c>
      <c r="DT1" t="e">
        <f>AND('Chart data'!#REF!,"AAAAAH3Pf3s=")</f>
        <v>#REF!</v>
      </c>
      <c r="DU1" t="e">
        <f>AND('Chart data'!#REF!,"AAAAAH3Pf3w=")</f>
        <v>#REF!</v>
      </c>
      <c r="DV1" t="e">
        <f>AND('Chart data'!#REF!,"AAAAAH3Pf30=")</f>
        <v>#REF!</v>
      </c>
      <c r="DW1">
        <f>IF('Chart data'!19:19,"AAAAAH3Pf34=",0)</f>
        <v>0</v>
      </c>
      <c r="DX1" t="e">
        <f>AND('Chart data'!A19,"AAAAAH3Pf38=")</f>
        <v>#VALUE!</v>
      </c>
      <c r="DY1" t="e">
        <f>AND('Chart data'!B19,"AAAAAH3Pf4A=")</f>
        <v>#VALUE!</v>
      </c>
      <c r="DZ1" t="e">
        <f>AND('Chart data'!#REF!,"AAAAAH3Pf4E=")</f>
        <v>#REF!</v>
      </c>
      <c r="EA1" t="e">
        <f>AND('Chart data'!#REF!,"AAAAAH3Pf4I=")</f>
        <v>#REF!</v>
      </c>
      <c r="EB1" t="e">
        <f>AND('Chart data'!#REF!,"AAAAAH3Pf4M=")</f>
        <v>#REF!</v>
      </c>
      <c r="EC1" t="e">
        <f>AND('Chart data'!#REF!,"AAAAAH3Pf4Q=")</f>
        <v>#REF!</v>
      </c>
      <c r="ED1">
        <f>IF('Chart data'!20:20,"AAAAAH3Pf4U=",0)</f>
        <v>0</v>
      </c>
      <c r="EE1" t="e">
        <f>AND('Chart data'!A20,"AAAAAH3Pf4Y=")</f>
        <v>#VALUE!</v>
      </c>
      <c r="EF1" t="e">
        <f>AND('Chart data'!B20,"AAAAAH3Pf4c=")</f>
        <v>#VALUE!</v>
      </c>
      <c r="EG1" t="e">
        <f>AND('Chart data'!#REF!,"AAAAAH3Pf4g=")</f>
        <v>#REF!</v>
      </c>
      <c r="EH1" t="e">
        <f>AND('Chart data'!#REF!,"AAAAAH3Pf4k=")</f>
        <v>#REF!</v>
      </c>
      <c r="EI1" t="e">
        <f>AND('Chart data'!#REF!,"AAAAAH3Pf4o=")</f>
        <v>#REF!</v>
      </c>
      <c r="EJ1" t="e">
        <f>AND('Chart data'!#REF!,"AAAAAH3Pf4s=")</f>
        <v>#REF!</v>
      </c>
      <c r="EK1">
        <f>IF('Chart data'!21:21,"AAAAAH3Pf4w=",0)</f>
        <v>0</v>
      </c>
      <c r="EL1" t="e">
        <f>AND('Chart data'!A21,"AAAAAH3Pf40=")</f>
        <v>#VALUE!</v>
      </c>
      <c r="EM1" t="e">
        <f>AND('Chart data'!B21,"AAAAAH3Pf44=")</f>
        <v>#VALUE!</v>
      </c>
      <c r="EN1" t="e">
        <f>AND('Chart data'!#REF!,"AAAAAH3Pf48=")</f>
        <v>#REF!</v>
      </c>
      <c r="EO1" t="e">
        <f>AND('Chart data'!#REF!,"AAAAAH3Pf5A=")</f>
        <v>#REF!</v>
      </c>
      <c r="EP1" t="e">
        <f>AND('Chart data'!#REF!,"AAAAAH3Pf5E=")</f>
        <v>#REF!</v>
      </c>
      <c r="EQ1" t="e">
        <f>AND('Chart data'!#REF!,"AAAAAH3Pf5I=")</f>
        <v>#REF!</v>
      </c>
      <c r="ER1">
        <f>IF('Chart data'!22:22,"AAAAAH3Pf5M=",0)</f>
        <v>0</v>
      </c>
      <c r="ES1" t="e">
        <f>AND('Chart data'!A22,"AAAAAH3Pf5Q=")</f>
        <v>#VALUE!</v>
      </c>
      <c r="ET1" t="e">
        <f>AND('Chart data'!B22,"AAAAAH3Pf5U=")</f>
        <v>#VALUE!</v>
      </c>
      <c r="EU1" t="e">
        <f>AND('Chart data'!#REF!,"AAAAAH3Pf5Y=")</f>
        <v>#REF!</v>
      </c>
      <c r="EV1" t="e">
        <f>AND('Chart data'!#REF!,"AAAAAH3Pf5c=")</f>
        <v>#REF!</v>
      </c>
      <c r="EW1" t="e">
        <f>AND('Chart data'!#REF!,"AAAAAH3Pf5g=")</f>
        <v>#REF!</v>
      </c>
      <c r="EX1" t="e">
        <f>AND('Chart data'!#REF!,"AAAAAH3Pf5k=")</f>
        <v>#REF!</v>
      </c>
      <c r="EY1">
        <f>IF('Chart data'!23:23,"AAAAAH3Pf5o=",0)</f>
        <v>0</v>
      </c>
      <c r="EZ1" t="e">
        <f>AND('Chart data'!A23,"AAAAAH3Pf5s=")</f>
        <v>#VALUE!</v>
      </c>
      <c r="FA1" t="e">
        <f>AND('Chart data'!B23,"AAAAAH3Pf5w=")</f>
        <v>#VALUE!</v>
      </c>
      <c r="FB1" t="e">
        <f>AND('Chart data'!#REF!,"AAAAAH3Pf50=")</f>
        <v>#REF!</v>
      </c>
      <c r="FC1" t="e">
        <f>AND('Chart data'!#REF!,"AAAAAH3Pf54=")</f>
        <v>#REF!</v>
      </c>
      <c r="FD1" t="e">
        <f>AND('Chart data'!#REF!,"AAAAAH3Pf58=")</f>
        <v>#REF!</v>
      </c>
      <c r="FE1" t="e">
        <f>AND('Chart data'!#REF!,"AAAAAH3Pf6A=")</f>
        <v>#REF!</v>
      </c>
      <c r="FF1">
        <f>IF('Chart data'!24:24,"AAAAAH3Pf6E=",0)</f>
        <v>0</v>
      </c>
      <c r="FG1" t="e">
        <f>AND('Chart data'!A24,"AAAAAH3Pf6I=")</f>
        <v>#VALUE!</v>
      </c>
      <c r="FH1" t="e">
        <f>AND('Chart data'!B24,"AAAAAH3Pf6M=")</f>
        <v>#VALUE!</v>
      </c>
      <c r="FI1" t="e">
        <f>AND('Chart data'!#REF!,"AAAAAH3Pf6Q=")</f>
        <v>#REF!</v>
      </c>
      <c r="FJ1" t="e">
        <f>AND('Chart data'!#REF!,"AAAAAH3Pf6U=")</f>
        <v>#REF!</v>
      </c>
      <c r="FK1" t="e">
        <f>AND('Chart data'!#REF!,"AAAAAH3Pf6Y=")</f>
        <v>#REF!</v>
      </c>
      <c r="FL1" t="e">
        <f>AND('Chart data'!#REF!,"AAAAAH3Pf6c=")</f>
        <v>#REF!</v>
      </c>
      <c r="FM1">
        <f>IF('Chart data'!25:25,"AAAAAH3Pf6g=",0)</f>
        <v>0</v>
      </c>
      <c r="FN1" t="e">
        <f>AND('Chart data'!A25,"AAAAAH3Pf6k=")</f>
        <v>#VALUE!</v>
      </c>
      <c r="FO1" t="e">
        <f>AND('Chart data'!B25,"AAAAAH3Pf6o=")</f>
        <v>#VALUE!</v>
      </c>
      <c r="FP1" t="e">
        <f>AND('Chart data'!#REF!,"AAAAAH3Pf6s=")</f>
        <v>#REF!</v>
      </c>
      <c r="FQ1" t="e">
        <f>AND('Chart data'!#REF!,"AAAAAH3Pf6w=")</f>
        <v>#REF!</v>
      </c>
      <c r="FR1" t="e">
        <f>AND('Chart data'!#REF!,"AAAAAH3Pf60=")</f>
        <v>#REF!</v>
      </c>
      <c r="FS1" t="e">
        <f>AND('Chart data'!#REF!,"AAAAAH3Pf64=")</f>
        <v>#REF!</v>
      </c>
      <c r="FT1">
        <f>IF('Chart data'!26:26,"AAAAAH3Pf68=",0)</f>
        <v>0</v>
      </c>
      <c r="FU1" t="e">
        <f>AND('Chart data'!A26,"AAAAAH3Pf7A=")</f>
        <v>#VALUE!</v>
      </c>
      <c r="FV1" t="e">
        <f>AND('Chart data'!B26,"AAAAAH3Pf7E=")</f>
        <v>#VALUE!</v>
      </c>
      <c r="FW1" t="e">
        <f>AND('Chart data'!#REF!,"AAAAAH3Pf7I=")</f>
        <v>#REF!</v>
      </c>
      <c r="FX1" t="e">
        <f>AND('Chart data'!#REF!,"AAAAAH3Pf7M=")</f>
        <v>#REF!</v>
      </c>
      <c r="FY1" t="e">
        <f>AND('Chart data'!#REF!,"AAAAAH3Pf7Q=")</f>
        <v>#REF!</v>
      </c>
      <c r="FZ1" t="e">
        <f>AND('Chart data'!#REF!,"AAAAAH3Pf7U=")</f>
        <v>#REF!</v>
      </c>
      <c r="GA1">
        <f>IF('Chart data'!27:27,"AAAAAH3Pf7Y=",0)</f>
        <v>0</v>
      </c>
      <c r="GB1" t="e">
        <f>AND('Chart data'!A27,"AAAAAH3Pf7c=")</f>
        <v>#VALUE!</v>
      </c>
      <c r="GC1" t="e">
        <f>AND('Chart data'!B27,"AAAAAH3Pf7g=")</f>
        <v>#VALUE!</v>
      </c>
      <c r="GD1" t="e">
        <f>AND('Chart data'!#REF!,"AAAAAH3Pf7k=")</f>
        <v>#REF!</v>
      </c>
      <c r="GE1" t="e">
        <f>AND('Chart data'!#REF!,"AAAAAH3Pf7o=")</f>
        <v>#REF!</v>
      </c>
      <c r="GF1" t="e">
        <f>AND('Chart data'!#REF!,"AAAAAH3Pf7s=")</f>
        <v>#REF!</v>
      </c>
      <c r="GG1" t="e">
        <f>AND('Chart data'!#REF!,"AAAAAH3Pf7w=")</f>
        <v>#REF!</v>
      </c>
      <c r="GH1">
        <f>IF('Chart data'!28:28,"AAAAAH3Pf70=",0)</f>
        <v>0</v>
      </c>
      <c r="GI1" t="e">
        <f>AND('Chart data'!A28,"AAAAAH3Pf74=")</f>
        <v>#VALUE!</v>
      </c>
      <c r="GJ1" t="e">
        <f>AND('Chart data'!B28,"AAAAAH3Pf78=")</f>
        <v>#VALUE!</v>
      </c>
      <c r="GK1" t="e">
        <f>AND('Chart data'!#REF!,"AAAAAH3Pf8A=")</f>
        <v>#REF!</v>
      </c>
      <c r="GL1" t="e">
        <f>AND('Chart data'!#REF!,"AAAAAH3Pf8E=")</f>
        <v>#REF!</v>
      </c>
      <c r="GM1" t="e">
        <f>AND('Chart data'!#REF!,"AAAAAH3Pf8I=")</f>
        <v>#REF!</v>
      </c>
      <c r="GN1" t="e">
        <f>AND('Chart data'!#REF!,"AAAAAH3Pf8M=")</f>
        <v>#REF!</v>
      </c>
      <c r="GO1">
        <f>IF('Chart data'!29:29,"AAAAAH3Pf8Q=",0)</f>
        <v>0</v>
      </c>
      <c r="GP1" t="e">
        <f>AND('Chart data'!A29,"AAAAAH3Pf8U=")</f>
        <v>#VALUE!</v>
      </c>
      <c r="GQ1" t="e">
        <f>AND('Chart data'!B29,"AAAAAH3Pf8Y=")</f>
        <v>#VALUE!</v>
      </c>
      <c r="GR1" t="e">
        <f>AND('Chart data'!#REF!,"AAAAAH3Pf8c=")</f>
        <v>#REF!</v>
      </c>
      <c r="GS1" t="e">
        <f>AND('Chart data'!#REF!,"AAAAAH3Pf8g=")</f>
        <v>#REF!</v>
      </c>
      <c r="GT1" t="e">
        <f>AND('Chart data'!#REF!,"AAAAAH3Pf8k=")</f>
        <v>#REF!</v>
      </c>
      <c r="GU1" t="e">
        <f>AND('Chart data'!#REF!,"AAAAAH3Pf8o=")</f>
        <v>#REF!</v>
      </c>
      <c r="GV1">
        <f>IF('Chart data'!30:30,"AAAAAH3Pf8s=",0)</f>
        <v>0</v>
      </c>
      <c r="GW1" t="e">
        <f>AND('Chart data'!A30,"AAAAAH3Pf8w=")</f>
        <v>#VALUE!</v>
      </c>
      <c r="GX1" t="e">
        <f>AND('Chart data'!B30,"AAAAAH3Pf80=")</f>
        <v>#VALUE!</v>
      </c>
      <c r="GY1" t="e">
        <f>AND('Chart data'!#REF!,"AAAAAH3Pf84=")</f>
        <v>#REF!</v>
      </c>
      <c r="GZ1" t="e">
        <f>AND('Chart data'!#REF!,"AAAAAH3Pf88=")</f>
        <v>#REF!</v>
      </c>
      <c r="HA1" t="e">
        <f>AND('Chart data'!#REF!,"AAAAAH3Pf9A=")</f>
        <v>#REF!</v>
      </c>
      <c r="HB1" t="e">
        <f>AND('Chart data'!#REF!,"AAAAAH3Pf9E=")</f>
        <v>#REF!</v>
      </c>
      <c r="HC1">
        <f>IF('Chart data'!31:31,"AAAAAH3Pf9I=",0)</f>
        <v>0</v>
      </c>
      <c r="HD1" t="e">
        <f>AND('Chart data'!A31,"AAAAAH3Pf9M=")</f>
        <v>#VALUE!</v>
      </c>
      <c r="HE1" t="e">
        <f>AND('Chart data'!B31,"AAAAAH3Pf9Q=")</f>
        <v>#VALUE!</v>
      </c>
      <c r="HF1" t="e">
        <f>AND('Chart data'!#REF!,"AAAAAH3Pf9U=")</f>
        <v>#REF!</v>
      </c>
      <c r="HG1" t="e">
        <f>AND('Chart data'!#REF!,"AAAAAH3Pf9Y=")</f>
        <v>#REF!</v>
      </c>
      <c r="HH1" t="e">
        <f>AND('Chart data'!#REF!,"AAAAAH3Pf9c=")</f>
        <v>#REF!</v>
      </c>
      <c r="HI1" t="e">
        <f>AND('Chart data'!#REF!,"AAAAAH3Pf9g=")</f>
        <v>#REF!</v>
      </c>
      <c r="HJ1">
        <f>IF('Chart data'!32:32,"AAAAAH3Pf9k=",0)</f>
        <v>0</v>
      </c>
      <c r="HK1" t="e">
        <f>AND('Chart data'!A32,"AAAAAH3Pf9o=")</f>
        <v>#VALUE!</v>
      </c>
      <c r="HL1" t="e">
        <f>AND('Chart data'!B32,"AAAAAH3Pf9s=")</f>
        <v>#VALUE!</v>
      </c>
      <c r="HM1" t="e">
        <f>AND('Chart data'!#REF!,"AAAAAH3Pf9w=")</f>
        <v>#REF!</v>
      </c>
      <c r="HN1" t="e">
        <f>AND('Chart data'!#REF!,"AAAAAH3Pf90=")</f>
        <v>#REF!</v>
      </c>
      <c r="HO1" t="e">
        <f>AND('Chart data'!#REF!,"AAAAAH3Pf94=")</f>
        <v>#REF!</v>
      </c>
      <c r="HP1" t="e">
        <f>AND('Chart data'!#REF!,"AAAAAH3Pf98=")</f>
        <v>#REF!</v>
      </c>
      <c r="HQ1">
        <f>IF('Chart data'!33:33,"AAAAAH3Pf+A=",0)</f>
        <v>0</v>
      </c>
      <c r="HR1" t="e">
        <f>AND('Chart data'!A33,"AAAAAH3Pf+E=")</f>
        <v>#VALUE!</v>
      </c>
      <c r="HS1" t="e">
        <f>AND('Chart data'!B33,"AAAAAH3Pf+I=")</f>
        <v>#VALUE!</v>
      </c>
      <c r="HT1" t="e">
        <f>AND('Chart data'!#REF!,"AAAAAH3Pf+M=")</f>
        <v>#REF!</v>
      </c>
      <c r="HU1" t="e">
        <f>AND('Chart data'!#REF!,"AAAAAH3Pf+Q=")</f>
        <v>#REF!</v>
      </c>
      <c r="HV1" t="e">
        <f>AND('Chart data'!#REF!,"AAAAAH3Pf+U=")</f>
        <v>#REF!</v>
      </c>
      <c r="HW1" t="e">
        <f>AND('Chart data'!#REF!,"AAAAAH3Pf+Y=")</f>
        <v>#REF!</v>
      </c>
      <c r="HX1">
        <f>IF('Chart data'!34:34,"AAAAAH3Pf+c=",0)</f>
        <v>0</v>
      </c>
      <c r="HY1" t="e">
        <f>AND('Chart data'!A34,"AAAAAH3Pf+g=")</f>
        <v>#VALUE!</v>
      </c>
      <c r="HZ1" t="e">
        <f>AND('Chart data'!B34,"AAAAAH3Pf+k=")</f>
        <v>#VALUE!</v>
      </c>
      <c r="IA1" t="e">
        <f>AND('Chart data'!#REF!,"AAAAAH3Pf+o=")</f>
        <v>#REF!</v>
      </c>
      <c r="IB1" t="e">
        <f>AND('Chart data'!#REF!,"AAAAAH3Pf+s=")</f>
        <v>#REF!</v>
      </c>
      <c r="IC1" t="e">
        <f>AND('Chart data'!#REF!,"AAAAAH3Pf+w=")</f>
        <v>#REF!</v>
      </c>
      <c r="ID1" t="e">
        <f>AND('Chart data'!#REF!,"AAAAAH3Pf+0=")</f>
        <v>#REF!</v>
      </c>
      <c r="IE1">
        <f>IF('Chart data'!35:35,"AAAAAH3Pf+4=",0)</f>
        <v>0</v>
      </c>
      <c r="IF1" t="e">
        <f>AND('Chart data'!A35,"AAAAAH3Pf+8=")</f>
        <v>#VALUE!</v>
      </c>
      <c r="IG1" t="e">
        <f>AND('Chart data'!B35,"AAAAAH3Pf/A=")</f>
        <v>#VALUE!</v>
      </c>
      <c r="IH1" t="e">
        <f>AND('Chart data'!#REF!,"AAAAAH3Pf/E=")</f>
        <v>#REF!</v>
      </c>
      <c r="II1" t="e">
        <f>AND('Chart data'!#REF!,"AAAAAH3Pf/I=")</f>
        <v>#REF!</v>
      </c>
      <c r="IJ1" t="e">
        <f>AND('Chart data'!#REF!,"AAAAAH3Pf/M=")</f>
        <v>#REF!</v>
      </c>
      <c r="IK1" t="e">
        <f>AND('Chart data'!#REF!,"AAAAAH3Pf/Q=")</f>
        <v>#REF!</v>
      </c>
      <c r="IL1">
        <f>IF('Chart data'!36:36,"AAAAAH3Pf/U=",0)</f>
        <v>0</v>
      </c>
      <c r="IM1" t="e">
        <f>AND('Chart data'!A36,"AAAAAH3Pf/Y=")</f>
        <v>#VALUE!</v>
      </c>
      <c r="IN1" t="e">
        <f>AND('Chart data'!B36,"AAAAAH3Pf/c=")</f>
        <v>#VALUE!</v>
      </c>
      <c r="IO1" t="e">
        <f>AND('Chart data'!#REF!,"AAAAAH3Pf/g=")</f>
        <v>#REF!</v>
      </c>
      <c r="IP1" t="e">
        <f>AND('Chart data'!#REF!,"AAAAAH3Pf/k=")</f>
        <v>#REF!</v>
      </c>
      <c r="IQ1" t="e">
        <f>AND('Chart data'!#REF!,"AAAAAH3Pf/o=")</f>
        <v>#REF!</v>
      </c>
      <c r="IR1" t="e">
        <f>AND('Chart data'!#REF!,"AAAAAH3Pf/s=")</f>
        <v>#REF!</v>
      </c>
      <c r="IS1">
        <f>IF('Chart data'!37:37,"AAAAAH3Pf/w=",0)</f>
        <v>0</v>
      </c>
      <c r="IT1" t="e">
        <f>AND('Chart data'!A37,"AAAAAH3Pf/0=")</f>
        <v>#VALUE!</v>
      </c>
      <c r="IU1" t="e">
        <f>AND('Chart data'!B37,"AAAAAH3Pf/4=")</f>
        <v>#VALUE!</v>
      </c>
      <c r="IV1" t="e">
        <f>AND('Chart data'!#REF!,"AAAAAH3Pf/8=")</f>
        <v>#REF!</v>
      </c>
    </row>
    <row r="2" spans="1:256" x14ac:dyDescent="0.2">
      <c r="A2" t="e">
        <f>AND('Chart data'!#REF!,"AAAAABd9/QA=")</f>
        <v>#REF!</v>
      </c>
      <c r="B2" t="e">
        <f>AND('Chart data'!#REF!,"AAAAABd9/QE=")</f>
        <v>#REF!</v>
      </c>
      <c r="C2" t="e">
        <f>AND('Chart data'!#REF!,"AAAAABd9/QI=")</f>
        <v>#REF!</v>
      </c>
      <c r="D2">
        <f>IF('Chart data'!38:38,"AAAAABd9/QM=",0)</f>
        <v>0</v>
      </c>
      <c r="E2" t="e">
        <f>AND('Chart data'!A38,"AAAAABd9/QQ=")</f>
        <v>#VALUE!</v>
      </c>
      <c r="F2" t="e">
        <f>AND('Chart data'!B38,"AAAAABd9/QU=")</f>
        <v>#VALUE!</v>
      </c>
      <c r="G2" t="e">
        <f>AND('Chart data'!#REF!,"AAAAABd9/QY=")</f>
        <v>#REF!</v>
      </c>
      <c r="H2" t="e">
        <f>AND('Chart data'!#REF!,"AAAAABd9/Qc=")</f>
        <v>#REF!</v>
      </c>
      <c r="I2" t="e">
        <f>AND('Chart data'!#REF!,"AAAAABd9/Qg=")</f>
        <v>#REF!</v>
      </c>
      <c r="J2" t="e">
        <f>AND('Chart data'!#REF!,"AAAAABd9/Qk=")</f>
        <v>#REF!</v>
      </c>
      <c r="K2">
        <f>IF('Chart data'!39:39,"AAAAABd9/Qo=",0)</f>
        <v>0</v>
      </c>
      <c r="L2" t="e">
        <f>AND('Chart data'!A39,"AAAAABd9/Qs=")</f>
        <v>#VALUE!</v>
      </c>
      <c r="M2" t="e">
        <f>AND('Chart data'!B39,"AAAAABd9/Qw=")</f>
        <v>#VALUE!</v>
      </c>
      <c r="N2" t="e">
        <f>AND('Chart data'!#REF!,"AAAAABd9/Q0=")</f>
        <v>#REF!</v>
      </c>
      <c r="O2" t="e">
        <f>AND('Chart data'!#REF!,"AAAAABd9/Q4=")</f>
        <v>#REF!</v>
      </c>
      <c r="P2" t="e">
        <f>AND('Chart data'!#REF!,"AAAAABd9/Q8=")</f>
        <v>#REF!</v>
      </c>
      <c r="Q2" t="e">
        <f>AND('Chart data'!#REF!,"AAAAABd9/RA=")</f>
        <v>#REF!</v>
      </c>
      <c r="R2">
        <f>IF('Chart data'!40:40,"AAAAABd9/RE=",0)</f>
        <v>0</v>
      </c>
      <c r="S2" t="e">
        <f>AND('Chart data'!A40,"AAAAABd9/RI=")</f>
        <v>#VALUE!</v>
      </c>
      <c r="T2" t="e">
        <f>AND('Chart data'!B40,"AAAAABd9/RM=")</f>
        <v>#VALUE!</v>
      </c>
      <c r="U2" t="e">
        <f>AND('Chart data'!#REF!,"AAAAABd9/RQ=")</f>
        <v>#REF!</v>
      </c>
      <c r="V2" t="e">
        <f>AND('Chart data'!#REF!,"AAAAABd9/RU=")</f>
        <v>#REF!</v>
      </c>
      <c r="W2" t="e">
        <f>AND('Chart data'!#REF!,"AAAAABd9/RY=")</f>
        <v>#REF!</v>
      </c>
      <c r="X2" t="e">
        <f>AND('Chart data'!#REF!,"AAAAABd9/Rc=")</f>
        <v>#REF!</v>
      </c>
      <c r="Y2">
        <f>IF('Chart data'!41:41,"AAAAABd9/Rg=",0)</f>
        <v>0</v>
      </c>
      <c r="Z2" t="e">
        <f>AND('Chart data'!A41,"AAAAABd9/Rk=")</f>
        <v>#VALUE!</v>
      </c>
      <c r="AA2" t="e">
        <f>AND('Chart data'!B41,"AAAAABd9/Ro=")</f>
        <v>#VALUE!</v>
      </c>
      <c r="AB2" t="e">
        <f>AND('Chart data'!#REF!,"AAAAABd9/Rs=")</f>
        <v>#REF!</v>
      </c>
      <c r="AC2" t="e">
        <f>AND('Chart data'!#REF!,"AAAAABd9/Rw=")</f>
        <v>#REF!</v>
      </c>
      <c r="AD2" t="e">
        <f>AND('Chart data'!#REF!,"AAAAABd9/R0=")</f>
        <v>#REF!</v>
      </c>
      <c r="AE2" t="e">
        <f>AND('Chart data'!#REF!,"AAAAABd9/R4=")</f>
        <v>#REF!</v>
      </c>
      <c r="AF2">
        <f>IF('Chart data'!42:42,"AAAAABd9/R8=",0)</f>
        <v>0</v>
      </c>
      <c r="AG2" t="e">
        <f>AND('Chart data'!A42,"AAAAABd9/SA=")</f>
        <v>#VALUE!</v>
      </c>
      <c r="AH2" t="e">
        <f>AND('Chart data'!B42,"AAAAABd9/SE=")</f>
        <v>#VALUE!</v>
      </c>
      <c r="AI2" t="e">
        <f>AND('Chart data'!#REF!,"AAAAABd9/SI=")</f>
        <v>#REF!</v>
      </c>
      <c r="AJ2" t="e">
        <f>AND('Chart data'!#REF!,"AAAAABd9/SM=")</f>
        <v>#REF!</v>
      </c>
      <c r="AK2" t="e">
        <f>AND('Chart data'!#REF!,"AAAAABd9/SQ=")</f>
        <v>#REF!</v>
      </c>
      <c r="AL2" t="e">
        <f>AND('Chart data'!#REF!,"AAAAABd9/SU=")</f>
        <v>#REF!</v>
      </c>
      <c r="AM2">
        <f>IF('Chart data'!43:43,"AAAAABd9/SY=",0)</f>
        <v>0</v>
      </c>
      <c r="AN2" t="e">
        <f>AND('Chart data'!A43,"AAAAABd9/Sc=")</f>
        <v>#VALUE!</v>
      </c>
      <c r="AO2" t="e">
        <f>AND('Chart data'!B43,"AAAAABd9/Sg=")</f>
        <v>#VALUE!</v>
      </c>
      <c r="AP2" t="e">
        <f>AND('Chart data'!#REF!,"AAAAABd9/Sk=")</f>
        <v>#REF!</v>
      </c>
      <c r="AQ2" t="e">
        <f>AND('Chart data'!#REF!,"AAAAABd9/So=")</f>
        <v>#REF!</v>
      </c>
      <c r="AR2" t="e">
        <f>AND('Chart data'!#REF!,"AAAAABd9/Ss=")</f>
        <v>#REF!</v>
      </c>
      <c r="AS2" t="e">
        <f>AND('Chart data'!#REF!,"AAAAABd9/Sw=")</f>
        <v>#REF!</v>
      </c>
      <c r="AT2">
        <f>IF('Chart data'!44:44,"AAAAABd9/S0=",0)</f>
        <v>0</v>
      </c>
      <c r="AU2" t="e">
        <f>AND('Chart data'!A44,"AAAAABd9/S4=")</f>
        <v>#VALUE!</v>
      </c>
      <c r="AV2" t="e">
        <f>AND('Chart data'!B44,"AAAAABd9/S8=")</f>
        <v>#VALUE!</v>
      </c>
      <c r="AW2" t="e">
        <f>AND('Chart data'!#REF!,"AAAAABd9/TA=")</f>
        <v>#REF!</v>
      </c>
      <c r="AX2" t="e">
        <f>AND('Chart data'!#REF!,"AAAAABd9/TE=")</f>
        <v>#REF!</v>
      </c>
      <c r="AY2" t="e">
        <f>AND('Chart data'!#REF!,"AAAAABd9/TI=")</f>
        <v>#REF!</v>
      </c>
      <c r="AZ2" t="e">
        <f>AND('Chart data'!#REF!,"AAAAABd9/TM=")</f>
        <v>#REF!</v>
      </c>
      <c r="BA2">
        <f>IF('Chart data'!45:45,"AAAAABd9/TQ=",0)</f>
        <v>0</v>
      </c>
      <c r="BB2" t="e">
        <f>AND('Chart data'!A45,"AAAAABd9/TU=")</f>
        <v>#VALUE!</v>
      </c>
      <c r="BC2" t="e">
        <f>AND('Chart data'!B45,"AAAAABd9/TY=")</f>
        <v>#VALUE!</v>
      </c>
      <c r="BD2" t="e">
        <f>AND('Chart data'!#REF!,"AAAAABd9/Tc=")</f>
        <v>#REF!</v>
      </c>
      <c r="BE2" t="e">
        <f>AND('Chart data'!#REF!,"AAAAABd9/Tg=")</f>
        <v>#REF!</v>
      </c>
      <c r="BF2" t="e">
        <f>AND('Chart data'!#REF!,"AAAAABd9/Tk=")</f>
        <v>#REF!</v>
      </c>
      <c r="BG2" t="e">
        <f>AND('Chart data'!#REF!,"AAAAABd9/To=")</f>
        <v>#REF!</v>
      </c>
      <c r="BH2">
        <f>IF('Chart data'!46:46,"AAAAABd9/Ts=",0)</f>
        <v>0</v>
      </c>
      <c r="BI2" t="e">
        <f>AND('Chart data'!A46,"AAAAABd9/Tw=")</f>
        <v>#VALUE!</v>
      </c>
      <c r="BJ2" t="e">
        <f>AND('Chart data'!B46,"AAAAABd9/T0=")</f>
        <v>#VALUE!</v>
      </c>
      <c r="BK2" t="e">
        <f>AND('Chart data'!#REF!,"AAAAABd9/T4=")</f>
        <v>#REF!</v>
      </c>
      <c r="BL2" t="e">
        <f>AND('Chart data'!#REF!,"AAAAABd9/T8=")</f>
        <v>#REF!</v>
      </c>
      <c r="BM2" t="e">
        <f>AND('Chart data'!#REF!,"AAAAABd9/UA=")</f>
        <v>#REF!</v>
      </c>
      <c r="BN2" t="e">
        <f>AND('Chart data'!#REF!,"AAAAABd9/UE=")</f>
        <v>#REF!</v>
      </c>
      <c r="BO2">
        <f>IF('Chart data'!47:47,"AAAAABd9/UI=",0)</f>
        <v>0</v>
      </c>
      <c r="BP2" t="e">
        <f>AND('Chart data'!A47,"AAAAABd9/UM=")</f>
        <v>#VALUE!</v>
      </c>
      <c r="BQ2" t="e">
        <f>AND('Chart data'!B47,"AAAAABd9/UQ=")</f>
        <v>#VALUE!</v>
      </c>
      <c r="BR2" t="e">
        <f>AND('Chart data'!#REF!,"AAAAABd9/UU=")</f>
        <v>#REF!</v>
      </c>
      <c r="BS2" t="e">
        <f>AND('Chart data'!#REF!,"AAAAABd9/UY=")</f>
        <v>#REF!</v>
      </c>
      <c r="BT2" t="e">
        <f>AND('Chart data'!#REF!,"AAAAABd9/Uc=")</f>
        <v>#REF!</v>
      </c>
      <c r="BU2" t="e">
        <f>AND('Chart data'!#REF!,"AAAAABd9/Ug=")</f>
        <v>#REF!</v>
      </c>
      <c r="BV2">
        <f>IF('Chart data'!48:48,"AAAAABd9/Uk=",0)</f>
        <v>0</v>
      </c>
      <c r="BW2" t="e">
        <f>AND('Chart data'!A48,"AAAAABd9/Uo=")</f>
        <v>#VALUE!</v>
      </c>
      <c r="BX2" t="e">
        <f>AND('Chart data'!B48,"AAAAABd9/Us=")</f>
        <v>#VALUE!</v>
      </c>
      <c r="BY2" t="e">
        <f>AND('Chart data'!#REF!,"AAAAABd9/Uw=")</f>
        <v>#REF!</v>
      </c>
      <c r="BZ2" t="e">
        <f>AND('Chart data'!#REF!,"AAAAABd9/U0=")</f>
        <v>#REF!</v>
      </c>
      <c r="CA2" t="e">
        <f>AND('Chart data'!#REF!,"AAAAABd9/U4=")</f>
        <v>#REF!</v>
      </c>
      <c r="CB2" t="e">
        <f>AND('Chart data'!#REF!,"AAAAABd9/U8=")</f>
        <v>#REF!</v>
      </c>
      <c r="CC2">
        <f>IF('Chart data'!49:49,"AAAAABd9/VA=",0)</f>
        <v>0</v>
      </c>
      <c r="CD2" t="e">
        <f>AND('Chart data'!A49,"AAAAABd9/VE=")</f>
        <v>#VALUE!</v>
      </c>
      <c r="CE2" t="e">
        <f>AND('Chart data'!B49,"AAAAABd9/VI=")</f>
        <v>#VALUE!</v>
      </c>
      <c r="CF2" t="e">
        <f>AND('Chart data'!#REF!,"AAAAABd9/VM=")</f>
        <v>#REF!</v>
      </c>
      <c r="CG2" t="e">
        <f>AND('Chart data'!#REF!,"AAAAABd9/VQ=")</f>
        <v>#REF!</v>
      </c>
      <c r="CH2" t="e">
        <f>AND('Chart data'!#REF!,"AAAAABd9/VU=")</f>
        <v>#REF!</v>
      </c>
      <c r="CI2" t="e">
        <f>AND('Chart data'!#REF!,"AAAAABd9/VY=")</f>
        <v>#REF!</v>
      </c>
      <c r="CJ2">
        <f>IF('Chart data'!50:50,"AAAAABd9/Vc=",0)</f>
        <v>0</v>
      </c>
      <c r="CK2" t="e">
        <f>AND('Chart data'!A50,"AAAAABd9/Vg=")</f>
        <v>#VALUE!</v>
      </c>
      <c r="CL2" t="e">
        <f>AND('Chart data'!B50,"AAAAABd9/Vk=")</f>
        <v>#VALUE!</v>
      </c>
      <c r="CM2" t="e">
        <f>AND('Chart data'!#REF!,"AAAAABd9/Vo=")</f>
        <v>#REF!</v>
      </c>
      <c r="CN2" t="e">
        <f>AND('Chart data'!#REF!,"AAAAABd9/Vs=")</f>
        <v>#REF!</v>
      </c>
      <c r="CO2" t="e">
        <f>AND('Chart data'!#REF!,"AAAAABd9/Vw=")</f>
        <v>#REF!</v>
      </c>
      <c r="CP2" t="e">
        <f>AND('Chart data'!#REF!,"AAAAABd9/V0=")</f>
        <v>#REF!</v>
      </c>
      <c r="CQ2">
        <f>IF('Chart data'!51:51,"AAAAABd9/V4=",0)</f>
        <v>0</v>
      </c>
      <c r="CR2" t="e">
        <f>AND('Chart data'!A51,"AAAAABd9/V8=")</f>
        <v>#VALUE!</v>
      </c>
      <c r="CS2" t="e">
        <f>AND('Chart data'!B51,"AAAAABd9/WA=")</f>
        <v>#VALUE!</v>
      </c>
      <c r="CT2" t="e">
        <f>AND('Chart data'!#REF!,"AAAAABd9/WE=")</f>
        <v>#REF!</v>
      </c>
      <c r="CU2" t="e">
        <f>AND('Chart data'!#REF!,"AAAAABd9/WI=")</f>
        <v>#REF!</v>
      </c>
      <c r="CV2" t="e">
        <f>AND('Chart data'!#REF!,"AAAAABd9/WM=")</f>
        <v>#REF!</v>
      </c>
      <c r="CW2" t="e">
        <f>AND('Chart data'!#REF!,"AAAAABd9/WQ=")</f>
        <v>#REF!</v>
      </c>
      <c r="CX2">
        <f>IF('Chart data'!52:52,"AAAAABd9/WU=",0)</f>
        <v>0</v>
      </c>
      <c r="CY2" t="e">
        <f>AND('Chart data'!A52,"AAAAABd9/WY=")</f>
        <v>#VALUE!</v>
      </c>
      <c r="CZ2" t="e">
        <f>AND('Chart data'!B52,"AAAAABd9/Wc=")</f>
        <v>#VALUE!</v>
      </c>
      <c r="DA2" t="e">
        <f>AND('Chart data'!#REF!,"AAAAABd9/Wg=")</f>
        <v>#REF!</v>
      </c>
      <c r="DB2" t="e">
        <f>AND('Chart data'!#REF!,"AAAAABd9/Wk=")</f>
        <v>#REF!</v>
      </c>
      <c r="DC2" t="e">
        <f>AND('Chart data'!#REF!,"AAAAABd9/Wo=")</f>
        <v>#REF!</v>
      </c>
      <c r="DD2" t="e">
        <f>AND('Chart data'!#REF!,"AAAAABd9/Ws=")</f>
        <v>#REF!</v>
      </c>
      <c r="DE2">
        <f>IF('Chart data'!53:53,"AAAAABd9/Ww=",0)</f>
        <v>0</v>
      </c>
      <c r="DF2" t="e">
        <f>AND('Chart data'!A53,"AAAAABd9/W0=")</f>
        <v>#VALUE!</v>
      </c>
      <c r="DG2" t="e">
        <f>AND('Chart data'!B53,"AAAAABd9/W4=")</f>
        <v>#VALUE!</v>
      </c>
      <c r="DH2" t="e">
        <f>AND('Chart data'!#REF!,"AAAAABd9/W8=")</f>
        <v>#REF!</v>
      </c>
      <c r="DI2" t="e">
        <f>AND('Chart data'!#REF!,"AAAAABd9/XA=")</f>
        <v>#REF!</v>
      </c>
      <c r="DJ2" t="e">
        <f>AND('Chart data'!#REF!,"AAAAABd9/XE=")</f>
        <v>#REF!</v>
      </c>
      <c r="DK2" t="e">
        <f>AND('Chart data'!#REF!,"AAAAABd9/XI=")</f>
        <v>#REF!</v>
      </c>
      <c r="DL2">
        <f>IF('Chart data'!54:54,"AAAAABd9/XM=",0)</f>
        <v>0</v>
      </c>
      <c r="DM2" t="e">
        <f>AND('Chart data'!A54,"AAAAABd9/XQ=")</f>
        <v>#VALUE!</v>
      </c>
      <c r="DN2" t="e">
        <f>AND('Chart data'!B54,"AAAAABd9/XU=")</f>
        <v>#VALUE!</v>
      </c>
      <c r="DO2" t="e">
        <f>AND('Chart data'!#REF!,"AAAAABd9/XY=")</f>
        <v>#REF!</v>
      </c>
      <c r="DP2" t="e">
        <f>AND('Chart data'!#REF!,"AAAAABd9/Xc=")</f>
        <v>#REF!</v>
      </c>
      <c r="DQ2" t="e">
        <f>AND('Chart data'!#REF!,"AAAAABd9/Xg=")</f>
        <v>#REF!</v>
      </c>
      <c r="DR2" t="e">
        <f>AND('Chart data'!#REF!,"AAAAABd9/Xk=")</f>
        <v>#REF!</v>
      </c>
      <c r="DS2">
        <f>IF('Chart data'!55:55,"AAAAABd9/Xo=",0)</f>
        <v>0</v>
      </c>
      <c r="DT2" t="e">
        <f>AND('Chart data'!A55,"AAAAABd9/Xs=")</f>
        <v>#VALUE!</v>
      </c>
      <c r="DU2">
        <f>IF('Chart data'!56:56,"AAAAABd9/Xw=",0)</f>
        <v>0</v>
      </c>
      <c r="DV2" t="e">
        <f>AND('Chart data'!A56,"AAAAABd9/X0=")</f>
        <v>#VALUE!</v>
      </c>
      <c r="DW2">
        <f>IF('Chart data'!57:57,"AAAAABd9/X4=",0)</f>
        <v>0</v>
      </c>
      <c r="DX2" t="e">
        <f>AND('Chart data'!A57,"AAAAABd9/X8=")</f>
        <v>#VALUE!</v>
      </c>
      <c r="DY2" t="e">
        <f>IF('Chart data'!A:A,"AAAAABd9/YA=",0)</f>
        <v>#VALUE!</v>
      </c>
      <c r="DZ2" t="e">
        <f>IF('Chart data'!B:B,"AAAAABd9/YE=",0)</f>
        <v>#VALUE!</v>
      </c>
      <c r="EA2" t="e">
        <f>IF('Chart data'!#REF!,"AAAAABd9/YI=",0)</f>
        <v>#REF!</v>
      </c>
      <c r="EB2" t="e">
        <f>IF('Chart data'!#REF!,"AAAAABd9/YM=",0)</f>
        <v>#REF!</v>
      </c>
      <c r="EC2" t="e">
        <f>IF('Chart data'!#REF!,"AAAAABd9/YQ=",0)</f>
        <v>#REF!</v>
      </c>
      <c r="ED2" t="e">
        <f>IF('Chart data'!#REF!,"AAAAABd9/YU=",0)</f>
        <v>#REF!</v>
      </c>
      <c r="EE2">
        <f>IF('Data base'!1:1,"AAAAABd9/YY=",0)</f>
        <v>0</v>
      </c>
      <c r="EF2" t="e">
        <f>AND('Data base'!A1,"AAAAABd9/Yc=")</f>
        <v>#VALUE!</v>
      </c>
      <c r="EG2" t="e">
        <f>AND('Data base'!B1,"AAAAABd9/Yg=")</f>
        <v>#VALUE!</v>
      </c>
      <c r="EH2" t="e">
        <f>AND('Data base'!#REF!,"AAAAABd9/Yk=")</f>
        <v>#REF!</v>
      </c>
      <c r="EI2" t="e">
        <f>AND('Data base'!#REF!,"AAAAABd9/Yo=")</f>
        <v>#REF!</v>
      </c>
      <c r="EJ2" t="e">
        <f>AND('Data base'!#REF!,"AAAAABd9/Ys=")</f>
        <v>#REF!</v>
      </c>
      <c r="EK2" t="e">
        <f>AND('Data base'!#REF!,"AAAAABd9/Yw=")</f>
        <v>#REF!</v>
      </c>
      <c r="EL2" t="e">
        <f>AND('Data base'!#REF!,"AAAAABd9/Y0=")</f>
        <v>#REF!</v>
      </c>
      <c r="EM2" t="e">
        <f>AND('Data base'!#REF!,"AAAAABd9/Y4=")</f>
        <v>#REF!</v>
      </c>
      <c r="EN2" t="e">
        <f>AND('Data base'!#REF!,"AAAAABd9/Y8=")</f>
        <v>#REF!</v>
      </c>
      <c r="EO2" t="e">
        <f>AND('Data base'!#REF!,"AAAAABd9/ZA=")</f>
        <v>#REF!</v>
      </c>
      <c r="EP2" t="e">
        <f>AND('Data base'!#REF!,"AAAAABd9/ZE=")</f>
        <v>#REF!</v>
      </c>
      <c r="EQ2" t="e">
        <f>AND('Data base'!#REF!,"AAAAABd9/ZI=")</f>
        <v>#REF!</v>
      </c>
      <c r="ER2" t="e">
        <f>AND('Data base'!#REF!,"AAAAABd9/ZM=")</f>
        <v>#REF!</v>
      </c>
      <c r="ES2" t="e">
        <f>AND('Data base'!#REF!,"AAAAABd9/ZQ=")</f>
        <v>#REF!</v>
      </c>
      <c r="ET2" t="e">
        <f>AND('Data base'!#REF!,"AAAAABd9/ZU=")</f>
        <v>#REF!</v>
      </c>
      <c r="EU2">
        <f>IF('Data base'!2:2,"AAAAABd9/ZY=",0)</f>
        <v>0</v>
      </c>
      <c r="EV2" t="e">
        <f>AND('Data base'!A2,"AAAAABd9/Zc=")</f>
        <v>#VALUE!</v>
      </c>
      <c r="EW2" t="e">
        <f>AND('Data base'!B2,"AAAAABd9/Zg=")</f>
        <v>#VALUE!</v>
      </c>
      <c r="EX2" t="e">
        <f>AND('Data base'!#REF!,"AAAAABd9/Zk=")</f>
        <v>#REF!</v>
      </c>
      <c r="EY2" t="e">
        <f>AND('Data base'!#REF!,"AAAAABd9/Zo=")</f>
        <v>#REF!</v>
      </c>
      <c r="EZ2" t="e">
        <f>AND('Data base'!#REF!,"AAAAABd9/Zs=")</f>
        <v>#REF!</v>
      </c>
      <c r="FA2" t="e">
        <f>AND('Data base'!#REF!,"AAAAABd9/Zw=")</f>
        <v>#REF!</v>
      </c>
      <c r="FB2" t="e">
        <f>AND('Data base'!#REF!,"AAAAABd9/Z0=")</f>
        <v>#REF!</v>
      </c>
      <c r="FC2" t="e">
        <f>AND('Data base'!#REF!,"AAAAABd9/Z4=")</f>
        <v>#REF!</v>
      </c>
      <c r="FD2" t="e">
        <f>AND('Data base'!#REF!,"AAAAABd9/Z8=")</f>
        <v>#REF!</v>
      </c>
      <c r="FE2" t="e">
        <f>AND('Data base'!#REF!,"AAAAABd9/aA=")</f>
        <v>#REF!</v>
      </c>
      <c r="FF2" t="e">
        <f>AND('Data base'!#REF!,"AAAAABd9/aE=")</f>
        <v>#REF!</v>
      </c>
      <c r="FG2" t="e">
        <f>AND('Data base'!#REF!,"AAAAABd9/aI=")</f>
        <v>#REF!</v>
      </c>
      <c r="FH2" t="e">
        <f>AND('Data base'!#REF!,"AAAAABd9/aM=")</f>
        <v>#REF!</v>
      </c>
      <c r="FI2" t="e">
        <f>AND('Data base'!#REF!,"AAAAABd9/aQ=")</f>
        <v>#REF!</v>
      </c>
      <c r="FJ2" t="e">
        <f>AND('Data base'!#REF!,"AAAAABd9/aU=")</f>
        <v>#REF!</v>
      </c>
      <c r="FK2">
        <f>IF('Data base'!3:3,"AAAAABd9/aY=",0)</f>
        <v>0</v>
      </c>
      <c r="FL2" t="e">
        <f>AND('Data base'!A3,"AAAAABd9/ac=")</f>
        <v>#VALUE!</v>
      </c>
      <c r="FM2" t="e">
        <f>AND('Data base'!B3,"AAAAABd9/ag=")</f>
        <v>#VALUE!</v>
      </c>
      <c r="FN2" t="e">
        <f>AND('Data base'!#REF!,"AAAAABd9/ak=")</f>
        <v>#REF!</v>
      </c>
      <c r="FO2" t="e">
        <f>AND('Data base'!#REF!,"AAAAABd9/ao=")</f>
        <v>#REF!</v>
      </c>
      <c r="FP2" t="e">
        <f>AND('Data base'!#REF!,"AAAAABd9/as=")</f>
        <v>#REF!</v>
      </c>
      <c r="FQ2" t="e">
        <f>AND('Data base'!#REF!,"AAAAABd9/aw=")</f>
        <v>#REF!</v>
      </c>
      <c r="FR2" t="e">
        <f>AND('Data base'!#REF!,"AAAAABd9/a0=")</f>
        <v>#REF!</v>
      </c>
      <c r="FS2" t="e">
        <f>AND('Data base'!#REF!,"AAAAABd9/a4=")</f>
        <v>#REF!</v>
      </c>
      <c r="FT2" t="e">
        <f>AND('Data base'!#REF!,"AAAAABd9/a8=")</f>
        <v>#REF!</v>
      </c>
      <c r="FU2" t="e">
        <f>AND('Data base'!#REF!,"AAAAABd9/bA=")</f>
        <v>#REF!</v>
      </c>
      <c r="FV2" t="e">
        <f>AND('Data base'!#REF!,"AAAAABd9/bE=")</f>
        <v>#REF!</v>
      </c>
      <c r="FW2" t="e">
        <f>AND('Data base'!#REF!,"AAAAABd9/bI=")</f>
        <v>#REF!</v>
      </c>
      <c r="FX2" t="e">
        <f>AND('Data base'!#REF!,"AAAAABd9/bM=")</f>
        <v>#REF!</v>
      </c>
      <c r="FY2" t="e">
        <f>AND('Data base'!#REF!,"AAAAABd9/bQ=")</f>
        <v>#REF!</v>
      </c>
      <c r="FZ2" t="e">
        <f>AND('Data base'!#REF!,"AAAAABd9/bU=")</f>
        <v>#REF!</v>
      </c>
      <c r="GA2" t="e">
        <f>IF('Data base'!#REF!,"AAAAABd9/bY=",0)</f>
        <v>#REF!</v>
      </c>
      <c r="GB2" t="e">
        <f>AND('Data base'!#REF!,"AAAAABd9/bc=")</f>
        <v>#REF!</v>
      </c>
      <c r="GC2" t="e">
        <f>AND('Data base'!#REF!,"AAAAABd9/bg=")</f>
        <v>#REF!</v>
      </c>
      <c r="GD2" t="e">
        <f>AND('Data base'!#REF!,"AAAAABd9/bk=")</f>
        <v>#REF!</v>
      </c>
      <c r="GE2" t="e">
        <f>AND('Data base'!#REF!,"AAAAABd9/bo=")</f>
        <v>#REF!</v>
      </c>
      <c r="GF2" t="e">
        <f>AND('Data base'!#REF!,"AAAAABd9/bs=")</f>
        <v>#REF!</v>
      </c>
      <c r="GG2" t="e">
        <f>AND('Data base'!#REF!,"AAAAABd9/bw=")</f>
        <v>#REF!</v>
      </c>
      <c r="GH2" t="e">
        <f>AND('Data base'!#REF!,"AAAAABd9/b0=")</f>
        <v>#REF!</v>
      </c>
      <c r="GI2" t="e">
        <f>AND('Data base'!#REF!,"AAAAABd9/b4=")</f>
        <v>#REF!</v>
      </c>
      <c r="GJ2" t="e">
        <f>AND('Data base'!#REF!,"AAAAABd9/b8=")</f>
        <v>#REF!</v>
      </c>
      <c r="GK2" t="e">
        <f>AND('Data base'!#REF!,"AAAAABd9/cA=")</f>
        <v>#REF!</v>
      </c>
      <c r="GL2" t="e">
        <f>AND('Data base'!#REF!,"AAAAABd9/cE=")</f>
        <v>#REF!</v>
      </c>
      <c r="GM2" t="e">
        <f>AND('Data base'!#REF!,"AAAAABd9/cI=")</f>
        <v>#REF!</v>
      </c>
      <c r="GN2" t="e">
        <f>AND('Data base'!#REF!,"AAAAABd9/cM=")</f>
        <v>#REF!</v>
      </c>
      <c r="GO2" t="e">
        <f>AND('Data base'!#REF!,"AAAAABd9/cQ=")</f>
        <v>#REF!</v>
      </c>
      <c r="GP2" t="e">
        <f>AND('Data base'!#REF!,"AAAAABd9/cU=")</f>
        <v>#REF!</v>
      </c>
      <c r="GQ2">
        <f>IF('Data base'!4:4,"AAAAABd9/cY=",0)</f>
        <v>0</v>
      </c>
      <c r="GR2" t="e">
        <f>AND('Data base'!A4,"AAAAABd9/cc=")</f>
        <v>#VALUE!</v>
      </c>
      <c r="GS2" t="e">
        <f>AND('Data base'!B4,"AAAAABd9/cg=")</f>
        <v>#VALUE!</v>
      </c>
      <c r="GT2" t="e">
        <f>AND('Data base'!#REF!,"AAAAABd9/ck=")</f>
        <v>#REF!</v>
      </c>
      <c r="GU2" t="e">
        <f>AND('Data base'!#REF!,"AAAAABd9/co=")</f>
        <v>#REF!</v>
      </c>
      <c r="GV2" t="e">
        <f>AND('Data base'!#REF!,"AAAAABd9/cs=")</f>
        <v>#REF!</v>
      </c>
      <c r="GW2" t="e">
        <f>AND('Data base'!#REF!,"AAAAABd9/cw=")</f>
        <v>#REF!</v>
      </c>
      <c r="GX2" t="e">
        <f>AND('Data base'!#REF!,"AAAAABd9/c0=")</f>
        <v>#REF!</v>
      </c>
      <c r="GY2" t="e">
        <f>AND('Data base'!#REF!,"AAAAABd9/c4=")</f>
        <v>#REF!</v>
      </c>
      <c r="GZ2" t="e">
        <f>AND('Data base'!#REF!,"AAAAABd9/c8=")</f>
        <v>#REF!</v>
      </c>
      <c r="HA2" t="e">
        <f>AND('Data base'!#REF!,"AAAAABd9/dA=")</f>
        <v>#REF!</v>
      </c>
      <c r="HB2" t="e">
        <f>AND('Data base'!#REF!,"AAAAABd9/dE=")</f>
        <v>#REF!</v>
      </c>
      <c r="HC2" t="e">
        <f>AND('Data base'!#REF!,"AAAAABd9/dI=")</f>
        <v>#REF!</v>
      </c>
      <c r="HD2" t="e">
        <f>AND('Data base'!#REF!,"AAAAABd9/dM=")</f>
        <v>#REF!</v>
      </c>
      <c r="HE2" t="e">
        <f>AND('Data base'!#REF!,"AAAAABd9/dQ=")</f>
        <v>#REF!</v>
      </c>
      <c r="HF2" t="e">
        <f>AND('Data base'!#REF!,"AAAAABd9/dU=")</f>
        <v>#REF!</v>
      </c>
      <c r="HG2">
        <f>IF('Data base'!6:6,"AAAAABd9/dY=",0)</f>
        <v>0</v>
      </c>
      <c r="HH2" t="e">
        <f>AND('Data base'!A6,"AAAAABd9/dc=")</f>
        <v>#VALUE!</v>
      </c>
      <c r="HI2" t="e">
        <f>AND('Data base'!B6,"AAAAABd9/dg=")</f>
        <v>#VALUE!</v>
      </c>
      <c r="HJ2" t="e">
        <f>AND('Data base'!#REF!,"AAAAABd9/dk=")</f>
        <v>#REF!</v>
      </c>
      <c r="HK2" t="e">
        <f>AND('Data base'!#REF!,"AAAAABd9/do=")</f>
        <v>#REF!</v>
      </c>
      <c r="HL2" t="e">
        <f>AND('Data base'!#REF!,"AAAAABd9/ds=")</f>
        <v>#REF!</v>
      </c>
      <c r="HM2" t="e">
        <f>AND('Data base'!#REF!,"AAAAABd9/dw=")</f>
        <v>#REF!</v>
      </c>
      <c r="HN2" t="e">
        <f>AND('Data base'!#REF!,"AAAAABd9/d0=")</f>
        <v>#REF!</v>
      </c>
      <c r="HO2" t="e">
        <f>AND('Data base'!#REF!,"AAAAABd9/d4=")</f>
        <v>#REF!</v>
      </c>
      <c r="HP2" t="e">
        <f>AND('Data base'!#REF!,"AAAAABd9/d8=")</f>
        <v>#REF!</v>
      </c>
      <c r="HQ2" t="e">
        <f>AND('Data base'!#REF!,"AAAAABd9/eA=")</f>
        <v>#REF!</v>
      </c>
      <c r="HR2" t="e">
        <f>AND('Data base'!#REF!,"AAAAABd9/eE=")</f>
        <v>#REF!</v>
      </c>
      <c r="HS2" t="e">
        <f>AND('Data base'!#REF!,"AAAAABd9/eI=")</f>
        <v>#REF!</v>
      </c>
      <c r="HT2" t="e">
        <f>AND('Data base'!#REF!,"AAAAABd9/eM=")</f>
        <v>#REF!</v>
      </c>
      <c r="HU2" t="e">
        <f>AND('Data base'!#REF!,"AAAAABd9/eQ=")</f>
        <v>#REF!</v>
      </c>
      <c r="HV2" t="e">
        <f>AND('Data base'!#REF!,"AAAAABd9/eU=")</f>
        <v>#REF!</v>
      </c>
      <c r="HW2">
        <f>IF('Data base'!7:7,"AAAAABd9/eY=",0)</f>
        <v>0</v>
      </c>
      <c r="HX2" t="e">
        <f>AND('Data base'!A7,"AAAAABd9/ec=")</f>
        <v>#VALUE!</v>
      </c>
      <c r="HY2" t="e">
        <f>AND('Data base'!B7,"AAAAABd9/eg=")</f>
        <v>#VALUE!</v>
      </c>
      <c r="HZ2" t="e">
        <f>AND('Data base'!#REF!,"AAAAABd9/ek=")</f>
        <v>#REF!</v>
      </c>
      <c r="IA2" t="e">
        <f>AND('Data base'!#REF!,"AAAAABd9/eo=")</f>
        <v>#REF!</v>
      </c>
      <c r="IB2" t="e">
        <f>AND('Data base'!#REF!,"AAAAABd9/es=")</f>
        <v>#REF!</v>
      </c>
      <c r="IC2" t="e">
        <f>AND('Data base'!#REF!,"AAAAABd9/ew=")</f>
        <v>#REF!</v>
      </c>
      <c r="ID2" t="e">
        <f>AND('Data base'!#REF!,"AAAAABd9/e0=")</f>
        <v>#REF!</v>
      </c>
      <c r="IE2" t="e">
        <f>AND('Data base'!#REF!,"AAAAABd9/e4=")</f>
        <v>#REF!</v>
      </c>
      <c r="IF2" t="e">
        <f>AND('Data base'!#REF!,"AAAAABd9/e8=")</f>
        <v>#REF!</v>
      </c>
      <c r="IG2" t="e">
        <f>AND('Data base'!#REF!,"AAAAABd9/fA=")</f>
        <v>#REF!</v>
      </c>
      <c r="IH2" t="e">
        <f>AND('Data base'!#REF!,"AAAAABd9/fE=")</f>
        <v>#REF!</v>
      </c>
      <c r="II2" t="e">
        <f>AND('Data base'!#REF!,"AAAAABd9/fI=")</f>
        <v>#REF!</v>
      </c>
      <c r="IJ2" t="e">
        <f>AND('Data base'!#REF!,"AAAAABd9/fM=")</f>
        <v>#REF!</v>
      </c>
      <c r="IK2" t="e">
        <f>AND('Data base'!#REF!,"AAAAABd9/fQ=")</f>
        <v>#REF!</v>
      </c>
      <c r="IL2" t="e">
        <f>AND('Data base'!#REF!,"AAAAABd9/fU=")</f>
        <v>#REF!</v>
      </c>
      <c r="IM2">
        <f>IF('Data base'!8:8,"AAAAABd9/fY=",0)</f>
        <v>0</v>
      </c>
      <c r="IN2" t="e">
        <f>AND('Data base'!A8,"AAAAABd9/fc=")</f>
        <v>#VALUE!</v>
      </c>
      <c r="IO2" t="e">
        <f>AND('Data base'!B8,"AAAAABd9/fg=")</f>
        <v>#VALUE!</v>
      </c>
      <c r="IP2" t="e">
        <f>AND('Data base'!#REF!,"AAAAABd9/fk=")</f>
        <v>#REF!</v>
      </c>
      <c r="IQ2" t="e">
        <f>AND('Data base'!#REF!,"AAAAABd9/fo=")</f>
        <v>#REF!</v>
      </c>
      <c r="IR2" t="e">
        <f>AND('Data base'!#REF!,"AAAAABd9/fs=")</f>
        <v>#REF!</v>
      </c>
      <c r="IS2" t="e">
        <f>AND('Data base'!#REF!,"AAAAABd9/fw=")</f>
        <v>#REF!</v>
      </c>
      <c r="IT2" t="e">
        <f>AND('Data base'!#REF!,"AAAAABd9/f0=")</f>
        <v>#REF!</v>
      </c>
      <c r="IU2" t="e">
        <f>AND('Data base'!#REF!,"AAAAABd9/f4=")</f>
        <v>#REF!</v>
      </c>
      <c r="IV2" t="e">
        <f>AND('Data base'!#REF!,"AAAAABd9/f8=")</f>
        <v>#REF!</v>
      </c>
    </row>
    <row r="3" spans="1:256" x14ac:dyDescent="0.2">
      <c r="A3" t="e">
        <f>AND('Data base'!#REF!,"AAAAAE/71gA=")</f>
        <v>#REF!</v>
      </c>
      <c r="B3" t="e">
        <f>AND('Data base'!#REF!,"AAAAAE/71gE=")</f>
        <v>#REF!</v>
      </c>
      <c r="C3" t="e">
        <f>AND('Data base'!#REF!,"AAAAAE/71gI=")</f>
        <v>#REF!</v>
      </c>
      <c r="D3" t="e">
        <f>AND('Data base'!#REF!,"AAAAAE/71gM=")</f>
        <v>#REF!</v>
      </c>
      <c r="E3" t="e">
        <f>AND('Data base'!#REF!,"AAAAAE/71gQ=")</f>
        <v>#REF!</v>
      </c>
      <c r="F3" t="e">
        <f>AND('Data base'!#REF!,"AAAAAE/71gU=")</f>
        <v>#REF!</v>
      </c>
      <c r="G3">
        <f>IF('Data base'!9:9,"AAAAAE/71gY=",0)</f>
        <v>0</v>
      </c>
      <c r="H3" t="e">
        <f>AND('Data base'!A9,"AAAAAE/71gc=")</f>
        <v>#VALUE!</v>
      </c>
      <c r="I3" t="e">
        <f>AND('Data base'!B9,"AAAAAE/71gg=")</f>
        <v>#VALUE!</v>
      </c>
      <c r="J3" t="e">
        <f>AND('Data base'!#REF!,"AAAAAE/71gk=")</f>
        <v>#REF!</v>
      </c>
      <c r="K3" t="e">
        <f>AND('Data base'!#REF!,"AAAAAE/71go=")</f>
        <v>#REF!</v>
      </c>
      <c r="L3" t="e">
        <f>AND('Data base'!#REF!,"AAAAAE/71gs=")</f>
        <v>#REF!</v>
      </c>
      <c r="M3" t="e">
        <f>AND('Data base'!#REF!,"AAAAAE/71gw=")</f>
        <v>#REF!</v>
      </c>
      <c r="N3" t="e">
        <f>AND('Data base'!#REF!,"AAAAAE/71g0=")</f>
        <v>#REF!</v>
      </c>
      <c r="O3" t="e">
        <f>AND('Data base'!#REF!,"AAAAAE/71g4=")</f>
        <v>#REF!</v>
      </c>
      <c r="P3" t="e">
        <f>AND('Data base'!#REF!,"AAAAAE/71g8=")</f>
        <v>#REF!</v>
      </c>
      <c r="Q3" t="e">
        <f>AND('Data base'!#REF!,"AAAAAE/71hA=")</f>
        <v>#REF!</v>
      </c>
      <c r="R3" t="e">
        <f>AND('Data base'!#REF!,"AAAAAE/71hE=")</f>
        <v>#REF!</v>
      </c>
      <c r="S3" t="e">
        <f>AND('Data base'!#REF!,"AAAAAE/71hI=")</f>
        <v>#REF!</v>
      </c>
      <c r="T3" t="e">
        <f>AND('Data base'!#REF!,"AAAAAE/71hM=")</f>
        <v>#REF!</v>
      </c>
      <c r="U3" t="e">
        <f>AND('Data base'!#REF!,"AAAAAE/71hQ=")</f>
        <v>#REF!</v>
      </c>
      <c r="V3" t="e">
        <f>AND('Data base'!#REF!,"AAAAAE/71hU=")</f>
        <v>#REF!</v>
      </c>
      <c r="W3">
        <f>IF('Data base'!10:10,"AAAAAE/71hY=",0)</f>
        <v>0</v>
      </c>
      <c r="X3" t="e">
        <f>AND('Data base'!A10,"AAAAAE/71hc=")</f>
        <v>#VALUE!</v>
      </c>
      <c r="Y3" t="e">
        <f>AND('Data base'!B10,"AAAAAE/71hg=")</f>
        <v>#VALUE!</v>
      </c>
      <c r="Z3" t="e">
        <f>AND('Data base'!#REF!,"AAAAAE/71hk=")</f>
        <v>#REF!</v>
      </c>
      <c r="AA3" t="e">
        <f>AND('Data base'!#REF!,"AAAAAE/71ho=")</f>
        <v>#REF!</v>
      </c>
      <c r="AB3" t="e">
        <f>AND('Data base'!#REF!,"AAAAAE/71hs=")</f>
        <v>#REF!</v>
      </c>
      <c r="AC3" t="e">
        <f>AND('Data base'!#REF!,"AAAAAE/71hw=")</f>
        <v>#REF!</v>
      </c>
      <c r="AD3" t="e">
        <f>AND('Data base'!#REF!,"AAAAAE/71h0=")</f>
        <v>#REF!</v>
      </c>
      <c r="AE3" t="e">
        <f>AND('Data base'!#REF!,"AAAAAE/71h4=")</f>
        <v>#REF!</v>
      </c>
      <c r="AF3" t="e">
        <f>AND('Data base'!#REF!,"AAAAAE/71h8=")</f>
        <v>#REF!</v>
      </c>
      <c r="AG3" t="e">
        <f>AND('Data base'!#REF!,"AAAAAE/71iA=")</f>
        <v>#REF!</v>
      </c>
      <c r="AH3" t="e">
        <f>AND('Data base'!#REF!,"AAAAAE/71iE=")</f>
        <v>#REF!</v>
      </c>
      <c r="AI3" t="e">
        <f>AND('Data base'!#REF!,"AAAAAE/71iI=")</f>
        <v>#REF!</v>
      </c>
      <c r="AJ3" t="e">
        <f>AND('Data base'!#REF!,"AAAAAE/71iM=")</f>
        <v>#REF!</v>
      </c>
      <c r="AK3" t="e">
        <f>AND('Data base'!#REF!,"AAAAAE/71iQ=")</f>
        <v>#REF!</v>
      </c>
      <c r="AL3" t="e">
        <f>AND('Data base'!#REF!,"AAAAAE/71iU=")</f>
        <v>#REF!</v>
      </c>
      <c r="AM3">
        <f>IF('Data base'!11:11,"AAAAAE/71iY=",0)</f>
        <v>0</v>
      </c>
      <c r="AN3" t="e">
        <f>AND('Data base'!A11,"AAAAAE/71ic=")</f>
        <v>#VALUE!</v>
      </c>
      <c r="AO3" t="e">
        <f>AND('Data base'!B11,"AAAAAE/71ig=")</f>
        <v>#VALUE!</v>
      </c>
      <c r="AP3" t="e">
        <f>AND('Data base'!#REF!,"AAAAAE/71ik=")</f>
        <v>#REF!</v>
      </c>
      <c r="AQ3" t="e">
        <f>AND('Data base'!#REF!,"AAAAAE/71io=")</f>
        <v>#REF!</v>
      </c>
      <c r="AR3" t="e">
        <f>AND('Data base'!#REF!,"AAAAAE/71is=")</f>
        <v>#REF!</v>
      </c>
      <c r="AS3" t="e">
        <f>AND('Data base'!#REF!,"AAAAAE/71iw=")</f>
        <v>#REF!</v>
      </c>
      <c r="AT3" t="e">
        <f>AND('Data base'!#REF!,"AAAAAE/71i0=")</f>
        <v>#REF!</v>
      </c>
      <c r="AU3" t="e">
        <f>AND('Data base'!#REF!,"AAAAAE/71i4=")</f>
        <v>#REF!</v>
      </c>
      <c r="AV3" t="e">
        <f>AND('Data base'!#REF!,"AAAAAE/71i8=")</f>
        <v>#REF!</v>
      </c>
      <c r="AW3" t="e">
        <f>AND('Data base'!#REF!,"AAAAAE/71jA=")</f>
        <v>#REF!</v>
      </c>
      <c r="AX3" t="e">
        <f>AND('Data base'!#REF!,"AAAAAE/71jE=")</f>
        <v>#REF!</v>
      </c>
      <c r="AY3" t="e">
        <f>AND('Data base'!#REF!,"AAAAAE/71jI=")</f>
        <v>#REF!</v>
      </c>
      <c r="AZ3" t="e">
        <f>AND('Data base'!#REF!,"AAAAAE/71jM=")</f>
        <v>#REF!</v>
      </c>
      <c r="BA3" t="e">
        <f>AND('Data base'!#REF!,"AAAAAE/71jQ=")</f>
        <v>#REF!</v>
      </c>
      <c r="BB3" t="e">
        <f>AND('Data base'!#REF!,"AAAAAE/71jU=")</f>
        <v>#REF!</v>
      </c>
      <c r="BC3">
        <f>IF('Data base'!12:12,"AAAAAE/71jY=",0)</f>
        <v>0</v>
      </c>
      <c r="BD3" t="e">
        <f>AND('Data base'!A12,"AAAAAE/71jc=")</f>
        <v>#VALUE!</v>
      </c>
      <c r="BE3" t="e">
        <f>AND('Data base'!B12,"AAAAAE/71jg=")</f>
        <v>#VALUE!</v>
      </c>
      <c r="BF3" t="e">
        <f>AND('Data base'!#REF!,"AAAAAE/71jk=")</f>
        <v>#REF!</v>
      </c>
      <c r="BG3" t="e">
        <f>AND('Data base'!#REF!,"AAAAAE/71jo=")</f>
        <v>#REF!</v>
      </c>
      <c r="BH3" t="e">
        <f>AND('Data base'!#REF!,"AAAAAE/71js=")</f>
        <v>#REF!</v>
      </c>
      <c r="BI3" t="e">
        <f>AND('Data base'!#REF!,"AAAAAE/71jw=")</f>
        <v>#REF!</v>
      </c>
      <c r="BJ3" t="e">
        <f>AND('Data base'!#REF!,"AAAAAE/71j0=")</f>
        <v>#REF!</v>
      </c>
      <c r="BK3" t="e">
        <f>AND('Data base'!#REF!,"AAAAAE/71j4=")</f>
        <v>#REF!</v>
      </c>
      <c r="BL3" t="e">
        <f>AND('Data base'!#REF!,"AAAAAE/71j8=")</f>
        <v>#REF!</v>
      </c>
      <c r="BM3" t="e">
        <f>AND('Data base'!#REF!,"AAAAAE/71kA=")</f>
        <v>#REF!</v>
      </c>
      <c r="BN3" t="e">
        <f>AND('Data base'!#REF!,"AAAAAE/71kE=")</f>
        <v>#REF!</v>
      </c>
      <c r="BO3" t="e">
        <f>AND('Data base'!#REF!,"AAAAAE/71kI=")</f>
        <v>#REF!</v>
      </c>
      <c r="BP3" t="e">
        <f>AND('Data base'!#REF!,"AAAAAE/71kM=")</f>
        <v>#REF!</v>
      </c>
      <c r="BQ3" t="e">
        <f>AND('Data base'!#REF!,"AAAAAE/71kQ=")</f>
        <v>#REF!</v>
      </c>
      <c r="BR3" t="e">
        <f>AND('Data base'!#REF!,"AAAAAE/71kU=")</f>
        <v>#REF!</v>
      </c>
      <c r="BS3">
        <f>IF('Data base'!13:13,"AAAAAE/71kY=",0)</f>
        <v>0</v>
      </c>
      <c r="BT3" t="e">
        <f>AND('Data base'!A13,"AAAAAE/71kc=")</f>
        <v>#VALUE!</v>
      </c>
      <c r="BU3" t="e">
        <f>AND('Data base'!B13,"AAAAAE/71kg=")</f>
        <v>#VALUE!</v>
      </c>
      <c r="BV3" t="e">
        <f>AND('Data base'!#REF!,"AAAAAE/71kk=")</f>
        <v>#REF!</v>
      </c>
      <c r="BW3" t="e">
        <f>AND('Data base'!#REF!,"AAAAAE/71ko=")</f>
        <v>#REF!</v>
      </c>
      <c r="BX3" t="e">
        <f>AND('Data base'!#REF!,"AAAAAE/71ks=")</f>
        <v>#REF!</v>
      </c>
      <c r="BY3" t="e">
        <f>AND('Data base'!#REF!,"AAAAAE/71kw=")</f>
        <v>#REF!</v>
      </c>
      <c r="BZ3" t="e">
        <f>AND('Data base'!#REF!,"AAAAAE/71k0=")</f>
        <v>#REF!</v>
      </c>
      <c r="CA3" t="e">
        <f>AND('Data base'!#REF!,"AAAAAE/71k4=")</f>
        <v>#REF!</v>
      </c>
      <c r="CB3" t="e">
        <f>AND('Data base'!#REF!,"AAAAAE/71k8=")</f>
        <v>#REF!</v>
      </c>
      <c r="CC3" t="e">
        <f>AND('Data base'!#REF!,"AAAAAE/71lA=")</f>
        <v>#REF!</v>
      </c>
      <c r="CD3" t="e">
        <f>AND('Data base'!#REF!,"AAAAAE/71lE=")</f>
        <v>#REF!</v>
      </c>
      <c r="CE3" t="e">
        <f>AND('Data base'!#REF!,"AAAAAE/71lI=")</f>
        <v>#REF!</v>
      </c>
      <c r="CF3" t="e">
        <f>AND('Data base'!#REF!,"AAAAAE/71lM=")</f>
        <v>#REF!</v>
      </c>
      <c r="CG3" t="e">
        <f>AND('Data base'!#REF!,"AAAAAE/71lQ=")</f>
        <v>#REF!</v>
      </c>
      <c r="CH3" t="e">
        <f>AND('Data base'!#REF!,"AAAAAE/71lU=")</f>
        <v>#REF!</v>
      </c>
      <c r="CI3" t="e">
        <f>IF('Data base'!#REF!,"AAAAAE/71lY=",0)</f>
        <v>#REF!</v>
      </c>
      <c r="CJ3" t="e">
        <f>AND('Data base'!#REF!,"AAAAAE/71lc=")</f>
        <v>#REF!</v>
      </c>
      <c r="CK3" t="e">
        <f>AND('Data base'!#REF!,"AAAAAE/71lg=")</f>
        <v>#REF!</v>
      </c>
      <c r="CL3" t="e">
        <f>AND('Data base'!#REF!,"AAAAAE/71lk=")</f>
        <v>#REF!</v>
      </c>
      <c r="CM3" t="e">
        <f>AND('Data base'!#REF!,"AAAAAE/71lo=")</f>
        <v>#REF!</v>
      </c>
      <c r="CN3" t="e">
        <f>AND('Data base'!#REF!,"AAAAAE/71ls=")</f>
        <v>#REF!</v>
      </c>
      <c r="CO3" t="e">
        <f>AND('Data base'!#REF!,"AAAAAE/71lw=")</f>
        <v>#REF!</v>
      </c>
      <c r="CP3" t="e">
        <f>AND('Data base'!#REF!,"AAAAAE/71l0=")</f>
        <v>#REF!</v>
      </c>
      <c r="CQ3" t="e">
        <f>AND('Data base'!#REF!,"AAAAAE/71l4=")</f>
        <v>#REF!</v>
      </c>
      <c r="CR3" t="e">
        <f>AND('Data base'!#REF!,"AAAAAE/71l8=")</f>
        <v>#REF!</v>
      </c>
      <c r="CS3" t="e">
        <f>AND('Data base'!#REF!,"AAAAAE/71mA=")</f>
        <v>#REF!</v>
      </c>
      <c r="CT3" t="e">
        <f>AND('Data base'!#REF!,"AAAAAE/71mE=")</f>
        <v>#REF!</v>
      </c>
      <c r="CU3" t="e">
        <f>AND('Data base'!#REF!,"AAAAAE/71mI=")</f>
        <v>#REF!</v>
      </c>
      <c r="CV3" t="e">
        <f>AND('Data base'!#REF!,"AAAAAE/71mM=")</f>
        <v>#REF!</v>
      </c>
      <c r="CW3" t="e">
        <f>AND('Data base'!#REF!,"AAAAAE/71mQ=")</f>
        <v>#REF!</v>
      </c>
      <c r="CX3" t="e">
        <f>AND('Data base'!#REF!,"AAAAAE/71mU=")</f>
        <v>#REF!</v>
      </c>
      <c r="CY3" t="e">
        <f>IF('Data base'!#REF!,"AAAAAE/71mY=",0)</f>
        <v>#REF!</v>
      </c>
      <c r="CZ3" t="e">
        <f>AND('Data base'!#REF!,"AAAAAE/71mc=")</f>
        <v>#REF!</v>
      </c>
      <c r="DA3" t="e">
        <f>AND('Data base'!#REF!,"AAAAAE/71mg=")</f>
        <v>#REF!</v>
      </c>
      <c r="DB3" t="e">
        <f>AND('Data base'!#REF!,"AAAAAE/71mk=")</f>
        <v>#REF!</v>
      </c>
      <c r="DC3" t="e">
        <f>AND('Data base'!#REF!,"AAAAAE/71mo=")</f>
        <v>#REF!</v>
      </c>
      <c r="DD3" t="e">
        <f>AND('Data base'!#REF!,"AAAAAE/71ms=")</f>
        <v>#REF!</v>
      </c>
      <c r="DE3" t="e">
        <f>AND('Data base'!#REF!,"AAAAAE/71mw=")</f>
        <v>#REF!</v>
      </c>
      <c r="DF3" t="e">
        <f>AND('Data base'!#REF!,"AAAAAE/71m0=")</f>
        <v>#REF!</v>
      </c>
      <c r="DG3" t="e">
        <f>AND('Data base'!#REF!,"AAAAAE/71m4=")</f>
        <v>#REF!</v>
      </c>
      <c r="DH3" t="e">
        <f>AND('Data base'!#REF!,"AAAAAE/71m8=")</f>
        <v>#REF!</v>
      </c>
      <c r="DI3" t="e">
        <f>AND('Data base'!#REF!,"AAAAAE/71nA=")</f>
        <v>#REF!</v>
      </c>
      <c r="DJ3" t="e">
        <f>AND('Data base'!#REF!,"AAAAAE/71nE=")</f>
        <v>#REF!</v>
      </c>
      <c r="DK3" t="e">
        <f>AND('Data base'!#REF!,"AAAAAE/71nI=")</f>
        <v>#REF!</v>
      </c>
      <c r="DL3" t="e">
        <f>AND('Data base'!#REF!,"AAAAAE/71nM=")</f>
        <v>#REF!</v>
      </c>
      <c r="DM3" t="e">
        <f>AND('Data base'!#REF!,"AAAAAE/71nQ=")</f>
        <v>#REF!</v>
      </c>
      <c r="DN3" t="e">
        <f>AND('Data base'!#REF!,"AAAAAE/71nU=")</f>
        <v>#REF!</v>
      </c>
      <c r="DO3">
        <f>IF('Data base'!14:14,"AAAAAE/71nY=",0)</f>
        <v>0</v>
      </c>
      <c r="DP3" t="e">
        <f>AND('Data base'!A14,"AAAAAE/71nc=")</f>
        <v>#VALUE!</v>
      </c>
      <c r="DQ3" t="e">
        <f>AND('Data base'!B14,"AAAAAE/71ng=")</f>
        <v>#VALUE!</v>
      </c>
      <c r="DR3" t="e">
        <f>AND('Data base'!#REF!,"AAAAAE/71nk=")</f>
        <v>#REF!</v>
      </c>
      <c r="DS3" t="e">
        <f>AND('Data base'!#REF!,"AAAAAE/71no=")</f>
        <v>#REF!</v>
      </c>
      <c r="DT3" t="e">
        <f>AND('Data base'!#REF!,"AAAAAE/71ns=")</f>
        <v>#REF!</v>
      </c>
      <c r="DU3" t="e">
        <f>AND('Data base'!#REF!,"AAAAAE/71nw=")</f>
        <v>#REF!</v>
      </c>
      <c r="DV3" t="e">
        <f>AND('Data base'!#REF!,"AAAAAE/71n0=")</f>
        <v>#REF!</v>
      </c>
      <c r="DW3" t="e">
        <f>AND('Data base'!#REF!,"AAAAAE/71n4=")</f>
        <v>#REF!</v>
      </c>
      <c r="DX3" t="e">
        <f>AND('Data base'!#REF!,"AAAAAE/71n8=")</f>
        <v>#REF!</v>
      </c>
      <c r="DY3" t="e">
        <f>AND('Data base'!#REF!,"AAAAAE/71oA=")</f>
        <v>#REF!</v>
      </c>
      <c r="DZ3" t="e">
        <f>AND('Data base'!#REF!,"AAAAAE/71oE=")</f>
        <v>#REF!</v>
      </c>
      <c r="EA3" t="e">
        <f>AND('Data base'!#REF!,"AAAAAE/71oI=")</f>
        <v>#REF!</v>
      </c>
      <c r="EB3" t="e">
        <f>AND('Data base'!#REF!,"AAAAAE/71oM=")</f>
        <v>#REF!</v>
      </c>
      <c r="EC3" t="e">
        <f>AND('Data base'!#REF!,"AAAAAE/71oQ=")</f>
        <v>#REF!</v>
      </c>
      <c r="ED3" t="e">
        <f>AND('Data base'!#REF!,"AAAAAE/71oU=")</f>
        <v>#REF!</v>
      </c>
      <c r="EE3">
        <f>IF('Data base'!15:15,"AAAAAE/71oY=",0)</f>
        <v>0</v>
      </c>
      <c r="EF3" t="e">
        <f>AND('Data base'!A15,"AAAAAE/71oc=")</f>
        <v>#VALUE!</v>
      </c>
      <c r="EG3" t="e">
        <f>AND('Data base'!B15,"AAAAAE/71og=")</f>
        <v>#VALUE!</v>
      </c>
      <c r="EH3" t="e">
        <f>AND('Data base'!#REF!,"AAAAAE/71ok=")</f>
        <v>#REF!</v>
      </c>
      <c r="EI3" t="e">
        <f>AND('Data base'!#REF!,"AAAAAE/71oo=")</f>
        <v>#REF!</v>
      </c>
      <c r="EJ3" t="e">
        <f>AND('Data base'!#REF!,"AAAAAE/71os=")</f>
        <v>#REF!</v>
      </c>
      <c r="EK3" t="e">
        <f>AND('Data base'!#REF!,"AAAAAE/71ow=")</f>
        <v>#REF!</v>
      </c>
      <c r="EL3" t="e">
        <f>AND('Data base'!#REF!,"AAAAAE/71o0=")</f>
        <v>#REF!</v>
      </c>
      <c r="EM3" t="e">
        <f>AND('Data base'!#REF!,"AAAAAE/71o4=")</f>
        <v>#REF!</v>
      </c>
      <c r="EN3" t="e">
        <f>AND('Data base'!#REF!,"AAAAAE/71o8=")</f>
        <v>#REF!</v>
      </c>
      <c r="EO3" t="e">
        <f>AND('Data base'!#REF!,"AAAAAE/71pA=")</f>
        <v>#REF!</v>
      </c>
      <c r="EP3" t="e">
        <f>AND('Data base'!#REF!,"AAAAAE/71pE=")</f>
        <v>#REF!</v>
      </c>
      <c r="EQ3" t="e">
        <f>AND('Data base'!#REF!,"AAAAAE/71pI=")</f>
        <v>#REF!</v>
      </c>
      <c r="ER3" t="e">
        <f>AND('Data base'!#REF!,"AAAAAE/71pM=")</f>
        <v>#REF!</v>
      </c>
      <c r="ES3" t="e">
        <f>AND('Data base'!#REF!,"AAAAAE/71pQ=")</f>
        <v>#REF!</v>
      </c>
      <c r="ET3" t="e">
        <f>AND('Data base'!#REF!,"AAAAAE/71pU=")</f>
        <v>#REF!</v>
      </c>
      <c r="EU3">
        <f>IF('Data base'!16:16,"AAAAAE/71pY=",0)</f>
        <v>0</v>
      </c>
      <c r="EV3" t="e">
        <f>AND('Data base'!A16,"AAAAAE/71pc=")</f>
        <v>#VALUE!</v>
      </c>
      <c r="EW3" t="e">
        <f>AND('Data base'!B16,"AAAAAE/71pg=")</f>
        <v>#VALUE!</v>
      </c>
      <c r="EX3" t="e">
        <f>AND('Data base'!#REF!,"AAAAAE/71pk=")</f>
        <v>#REF!</v>
      </c>
      <c r="EY3" t="e">
        <f>AND('Data base'!#REF!,"AAAAAE/71po=")</f>
        <v>#REF!</v>
      </c>
      <c r="EZ3" t="e">
        <f>AND('Data base'!#REF!,"AAAAAE/71ps=")</f>
        <v>#REF!</v>
      </c>
      <c r="FA3" t="e">
        <f>AND('Data base'!#REF!,"AAAAAE/71pw=")</f>
        <v>#REF!</v>
      </c>
      <c r="FB3" t="e">
        <f>AND('Data base'!#REF!,"AAAAAE/71p0=")</f>
        <v>#REF!</v>
      </c>
      <c r="FC3" t="e">
        <f>AND('Data base'!#REF!,"AAAAAE/71p4=")</f>
        <v>#REF!</v>
      </c>
      <c r="FD3" t="e">
        <f>AND('Data base'!#REF!,"AAAAAE/71p8=")</f>
        <v>#REF!</v>
      </c>
      <c r="FE3" t="e">
        <f>AND('Data base'!#REF!,"AAAAAE/71qA=")</f>
        <v>#REF!</v>
      </c>
      <c r="FF3" t="e">
        <f>AND('Data base'!#REF!,"AAAAAE/71qE=")</f>
        <v>#REF!</v>
      </c>
      <c r="FG3" t="e">
        <f>AND('Data base'!#REF!,"AAAAAE/71qI=")</f>
        <v>#REF!</v>
      </c>
      <c r="FH3" t="e">
        <f>AND('Data base'!#REF!,"AAAAAE/71qM=")</f>
        <v>#REF!</v>
      </c>
      <c r="FI3" t="e">
        <f>AND('Data base'!#REF!,"AAAAAE/71qQ=")</f>
        <v>#REF!</v>
      </c>
      <c r="FJ3" t="e">
        <f>AND('Data base'!#REF!,"AAAAAE/71qU=")</f>
        <v>#REF!</v>
      </c>
      <c r="FK3">
        <f>IF('Data base'!17:17,"AAAAAE/71qY=",0)</f>
        <v>0</v>
      </c>
      <c r="FL3" t="e">
        <f>AND('Data base'!A17,"AAAAAE/71qc=")</f>
        <v>#VALUE!</v>
      </c>
      <c r="FM3" t="e">
        <f>AND('Data base'!B17,"AAAAAE/71qg=")</f>
        <v>#VALUE!</v>
      </c>
      <c r="FN3" t="e">
        <f>AND('Data base'!#REF!,"AAAAAE/71qk=")</f>
        <v>#REF!</v>
      </c>
      <c r="FO3" t="e">
        <f>AND('Data base'!#REF!,"AAAAAE/71qo=")</f>
        <v>#REF!</v>
      </c>
      <c r="FP3" t="e">
        <f>AND('Data base'!#REF!,"AAAAAE/71qs=")</f>
        <v>#REF!</v>
      </c>
      <c r="FQ3" t="e">
        <f>AND('Data base'!#REF!,"AAAAAE/71qw=")</f>
        <v>#REF!</v>
      </c>
      <c r="FR3" t="e">
        <f>AND('Data base'!#REF!,"AAAAAE/71q0=")</f>
        <v>#REF!</v>
      </c>
      <c r="FS3" t="e">
        <f>AND('Data base'!#REF!,"AAAAAE/71q4=")</f>
        <v>#REF!</v>
      </c>
      <c r="FT3" t="e">
        <f>AND('Data base'!#REF!,"AAAAAE/71q8=")</f>
        <v>#REF!</v>
      </c>
      <c r="FU3" t="e">
        <f>AND('Data base'!#REF!,"AAAAAE/71rA=")</f>
        <v>#REF!</v>
      </c>
      <c r="FV3" t="e">
        <f>AND('Data base'!#REF!,"AAAAAE/71rE=")</f>
        <v>#REF!</v>
      </c>
      <c r="FW3" t="e">
        <f>AND('Data base'!#REF!,"AAAAAE/71rI=")</f>
        <v>#REF!</v>
      </c>
      <c r="FX3" t="e">
        <f>AND('Data base'!#REF!,"AAAAAE/71rM=")</f>
        <v>#REF!</v>
      </c>
      <c r="FY3" t="e">
        <f>AND('Data base'!#REF!,"AAAAAE/71rQ=")</f>
        <v>#REF!</v>
      </c>
      <c r="FZ3" t="e">
        <f>AND('Data base'!#REF!,"AAAAAE/71rU=")</f>
        <v>#REF!</v>
      </c>
      <c r="GA3">
        <f>IF('Data base'!18:18,"AAAAAE/71rY=",0)</f>
        <v>0</v>
      </c>
      <c r="GB3" t="e">
        <f>AND('Data base'!A18,"AAAAAE/71rc=")</f>
        <v>#VALUE!</v>
      </c>
      <c r="GC3" t="e">
        <f>AND('Data base'!B18,"AAAAAE/71rg=")</f>
        <v>#VALUE!</v>
      </c>
      <c r="GD3" t="e">
        <f>AND('Data base'!#REF!,"AAAAAE/71rk=")</f>
        <v>#REF!</v>
      </c>
      <c r="GE3" t="e">
        <f>AND('Data base'!#REF!,"AAAAAE/71ro=")</f>
        <v>#REF!</v>
      </c>
      <c r="GF3" t="e">
        <f>AND('Data base'!#REF!,"AAAAAE/71rs=")</f>
        <v>#REF!</v>
      </c>
      <c r="GG3" t="e">
        <f>AND('Data base'!#REF!,"AAAAAE/71rw=")</f>
        <v>#REF!</v>
      </c>
      <c r="GH3" t="e">
        <f>AND('Data base'!#REF!,"AAAAAE/71r0=")</f>
        <v>#REF!</v>
      </c>
      <c r="GI3" t="e">
        <f>AND('Data base'!#REF!,"AAAAAE/71r4=")</f>
        <v>#REF!</v>
      </c>
      <c r="GJ3" t="e">
        <f>AND('Data base'!#REF!,"AAAAAE/71r8=")</f>
        <v>#REF!</v>
      </c>
      <c r="GK3" t="e">
        <f>AND('Data base'!#REF!,"AAAAAE/71sA=")</f>
        <v>#REF!</v>
      </c>
      <c r="GL3" t="e">
        <f>AND('Data base'!#REF!,"AAAAAE/71sE=")</f>
        <v>#REF!</v>
      </c>
      <c r="GM3" t="e">
        <f>AND('Data base'!#REF!,"AAAAAE/71sI=")</f>
        <v>#REF!</v>
      </c>
      <c r="GN3" t="e">
        <f>AND('Data base'!#REF!,"AAAAAE/71sM=")</f>
        <v>#REF!</v>
      </c>
      <c r="GO3" t="e">
        <f>AND('Data base'!#REF!,"AAAAAE/71sQ=")</f>
        <v>#REF!</v>
      </c>
      <c r="GP3" t="e">
        <f>AND('Data base'!#REF!,"AAAAAE/71sU=")</f>
        <v>#REF!</v>
      </c>
      <c r="GQ3">
        <f>IF('Data base'!19:19,"AAAAAE/71sY=",0)</f>
        <v>0</v>
      </c>
      <c r="GR3" t="e">
        <f>AND('Data base'!A19,"AAAAAE/71sc=")</f>
        <v>#VALUE!</v>
      </c>
      <c r="GS3" t="e">
        <f>AND('Data base'!B19,"AAAAAE/71sg=")</f>
        <v>#VALUE!</v>
      </c>
      <c r="GT3" t="e">
        <f>AND('Data base'!#REF!,"AAAAAE/71sk=")</f>
        <v>#REF!</v>
      </c>
      <c r="GU3" t="e">
        <f>AND('Data base'!#REF!,"AAAAAE/71so=")</f>
        <v>#REF!</v>
      </c>
      <c r="GV3" t="e">
        <f>AND('Data base'!#REF!,"AAAAAE/71ss=")</f>
        <v>#REF!</v>
      </c>
      <c r="GW3" t="e">
        <f>AND('Data base'!#REF!,"AAAAAE/71sw=")</f>
        <v>#REF!</v>
      </c>
      <c r="GX3" t="e">
        <f>AND('Data base'!#REF!,"AAAAAE/71s0=")</f>
        <v>#REF!</v>
      </c>
      <c r="GY3" t="e">
        <f>AND('Data base'!#REF!,"AAAAAE/71s4=")</f>
        <v>#REF!</v>
      </c>
      <c r="GZ3" t="e">
        <f>AND('Data base'!#REF!,"AAAAAE/71s8=")</f>
        <v>#REF!</v>
      </c>
      <c r="HA3" t="e">
        <f>AND('Data base'!#REF!,"AAAAAE/71tA=")</f>
        <v>#REF!</v>
      </c>
      <c r="HB3" t="e">
        <f>AND('Data base'!#REF!,"AAAAAE/71tE=")</f>
        <v>#REF!</v>
      </c>
      <c r="HC3" t="e">
        <f>AND('Data base'!#REF!,"AAAAAE/71tI=")</f>
        <v>#REF!</v>
      </c>
      <c r="HD3" t="e">
        <f>AND('Data base'!#REF!,"AAAAAE/71tM=")</f>
        <v>#REF!</v>
      </c>
      <c r="HE3" t="e">
        <f>AND('Data base'!#REF!,"AAAAAE/71tQ=")</f>
        <v>#REF!</v>
      </c>
      <c r="HF3" t="e">
        <f>AND('Data base'!#REF!,"AAAAAE/71tU=")</f>
        <v>#REF!</v>
      </c>
      <c r="HG3">
        <f>IF('Data base'!20:20,"AAAAAE/71tY=",0)</f>
        <v>0</v>
      </c>
      <c r="HH3" t="e">
        <f>AND('Data base'!A20,"AAAAAE/71tc=")</f>
        <v>#VALUE!</v>
      </c>
      <c r="HI3" t="e">
        <f>AND('Data base'!B20,"AAAAAE/71tg=")</f>
        <v>#VALUE!</v>
      </c>
      <c r="HJ3" t="e">
        <f>AND('Data base'!#REF!,"AAAAAE/71tk=")</f>
        <v>#REF!</v>
      </c>
      <c r="HK3" t="e">
        <f>AND('Data base'!#REF!,"AAAAAE/71to=")</f>
        <v>#REF!</v>
      </c>
      <c r="HL3" t="e">
        <f>AND('Data base'!#REF!,"AAAAAE/71ts=")</f>
        <v>#REF!</v>
      </c>
      <c r="HM3" t="e">
        <f>AND('Data base'!#REF!,"AAAAAE/71tw=")</f>
        <v>#REF!</v>
      </c>
      <c r="HN3" t="e">
        <f>AND('Data base'!#REF!,"AAAAAE/71t0=")</f>
        <v>#REF!</v>
      </c>
      <c r="HO3" t="e">
        <f>AND('Data base'!#REF!,"AAAAAE/71t4=")</f>
        <v>#REF!</v>
      </c>
      <c r="HP3" t="e">
        <f>AND('Data base'!#REF!,"AAAAAE/71t8=")</f>
        <v>#REF!</v>
      </c>
      <c r="HQ3" t="e">
        <f>AND('Data base'!#REF!,"AAAAAE/71uA=")</f>
        <v>#REF!</v>
      </c>
      <c r="HR3" t="e">
        <f>AND('Data base'!#REF!,"AAAAAE/71uE=")</f>
        <v>#REF!</v>
      </c>
      <c r="HS3" t="e">
        <f>AND('Data base'!#REF!,"AAAAAE/71uI=")</f>
        <v>#REF!</v>
      </c>
      <c r="HT3" t="e">
        <f>AND('Data base'!#REF!,"AAAAAE/71uM=")</f>
        <v>#REF!</v>
      </c>
      <c r="HU3" t="e">
        <f>AND('Data base'!#REF!,"AAAAAE/71uQ=")</f>
        <v>#REF!</v>
      </c>
      <c r="HV3" t="e">
        <f>AND('Data base'!#REF!,"AAAAAE/71uU=")</f>
        <v>#REF!</v>
      </c>
      <c r="HW3">
        <f>IF('Data base'!21:21,"AAAAAE/71uY=",0)</f>
        <v>0</v>
      </c>
      <c r="HX3" t="e">
        <f>AND('Data base'!A21,"AAAAAE/71uc=")</f>
        <v>#VALUE!</v>
      </c>
      <c r="HY3" t="e">
        <f>AND('Data base'!B21,"AAAAAE/71ug=")</f>
        <v>#VALUE!</v>
      </c>
      <c r="HZ3" t="e">
        <f>AND('Data base'!#REF!,"AAAAAE/71uk=")</f>
        <v>#REF!</v>
      </c>
      <c r="IA3" t="e">
        <f>AND('Data base'!#REF!,"AAAAAE/71uo=")</f>
        <v>#REF!</v>
      </c>
      <c r="IB3" t="e">
        <f>AND('Data base'!#REF!,"AAAAAE/71us=")</f>
        <v>#REF!</v>
      </c>
      <c r="IC3" t="e">
        <f>AND('Data base'!#REF!,"AAAAAE/71uw=")</f>
        <v>#REF!</v>
      </c>
      <c r="ID3" t="e">
        <f>AND('Data base'!#REF!,"AAAAAE/71u0=")</f>
        <v>#REF!</v>
      </c>
      <c r="IE3" t="e">
        <f>AND('Data base'!#REF!,"AAAAAE/71u4=")</f>
        <v>#REF!</v>
      </c>
      <c r="IF3" t="e">
        <f>AND('Data base'!#REF!,"AAAAAE/71u8=")</f>
        <v>#REF!</v>
      </c>
      <c r="IG3" t="e">
        <f>AND('Data base'!#REF!,"AAAAAE/71vA=")</f>
        <v>#REF!</v>
      </c>
      <c r="IH3" t="e">
        <f>AND('Data base'!#REF!,"AAAAAE/71vE=")</f>
        <v>#REF!</v>
      </c>
      <c r="II3" t="e">
        <f>AND('Data base'!#REF!,"AAAAAE/71vI=")</f>
        <v>#REF!</v>
      </c>
      <c r="IJ3" t="e">
        <f>AND('Data base'!#REF!,"AAAAAE/71vM=")</f>
        <v>#REF!</v>
      </c>
      <c r="IK3" t="e">
        <f>AND('Data base'!#REF!,"AAAAAE/71vQ=")</f>
        <v>#REF!</v>
      </c>
      <c r="IL3" t="e">
        <f>AND('Data base'!#REF!,"AAAAAE/71vU=")</f>
        <v>#REF!</v>
      </c>
      <c r="IM3">
        <f>IF('Data base'!22:22,"AAAAAE/71vY=",0)</f>
        <v>0</v>
      </c>
      <c r="IN3" t="e">
        <f>AND('Data base'!A22,"AAAAAE/71vc=")</f>
        <v>#VALUE!</v>
      </c>
      <c r="IO3" t="e">
        <f>AND('Data base'!B22,"AAAAAE/71vg=")</f>
        <v>#VALUE!</v>
      </c>
      <c r="IP3" t="e">
        <f>AND('Data base'!#REF!,"AAAAAE/71vk=")</f>
        <v>#REF!</v>
      </c>
      <c r="IQ3" t="e">
        <f>AND('Data base'!#REF!,"AAAAAE/71vo=")</f>
        <v>#REF!</v>
      </c>
      <c r="IR3" t="e">
        <f>AND('Data base'!#REF!,"AAAAAE/71vs=")</f>
        <v>#REF!</v>
      </c>
      <c r="IS3" t="e">
        <f>AND('Data base'!#REF!,"AAAAAE/71vw=")</f>
        <v>#REF!</v>
      </c>
      <c r="IT3" t="e">
        <f>AND('Data base'!#REF!,"AAAAAE/71v0=")</f>
        <v>#REF!</v>
      </c>
      <c r="IU3" t="e">
        <f>AND('Data base'!#REF!,"AAAAAE/71v4=")</f>
        <v>#REF!</v>
      </c>
      <c r="IV3" t="e">
        <f>AND('Data base'!#REF!,"AAAAAE/71v8=")</f>
        <v>#REF!</v>
      </c>
    </row>
    <row r="4" spans="1:256" x14ac:dyDescent="0.2">
      <c r="A4" t="e">
        <f>AND('Data base'!#REF!,"AAAAADfelQA=")</f>
        <v>#REF!</v>
      </c>
      <c r="B4" t="e">
        <f>AND('Data base'!#REF!,"AAAAADfelQE=")</f>
        <v>#REF!</v>
      </c>
      <c r="C4" t="e">
        <f>AND('Data base'!#REF!,"AAAAADfelQI=")</f>
        <v>#REF!</v>
      </c>
      <c r="D4" t="e">
        <f>AND('Data base'!#REF!,"AAAAADfelQM=")</f>
        <v>#REF!</v>
      </c>
      <c r="E4" t="e">
        <f>AND('Data base'!#REF!,"AAAAADfelQQ=")</f>
        <v>#REF!</v>
      </c>
      <c r="F4" t="e">
        <f>AND('Data base'!#REF!,"AAAAADfelQU=")</f>
        <v>#REF!</v>
      </c>
      <c r="G4">
        <f>IF('Data base'!23:23,"AAAAADfelQY=",0)</f>
        <v>0</v>
      </c>
      <c r="H4" t="e">
        <f>AND('Data base'!A23,"AAAAADfelQc=")</f>
        <v>#VALUE!</v>
      </c>
      <c r="I4" t="e">
        <f>AND('Data base'!B23,"AAAAADfelQg=")</f>
        <v>#VALUE!</v>
      </c>
      <c r="J4" t="e">
        <f>AND('Data base'!#REF!,"AAAAADfelQk=")</f>
        <v>#REF!</v>
      </c>
      <c r="K4" t="e">
        <f>AND('Data base'!#REF!,"AAAAADfelQo=")</f>
        <v>#REF!</v>
      </c>
      <c r="L4" t="e">
        <f>AND('Data base'!#REF!,"AAAAADfelQs=")</f>
        <v>#REF!</v>
      </c>
      <c r="M4" t="e">
        <f>AND('Data base'!#REF!,"AAAAADfelQw=")</f>
        <v>#REF!</v>
      </c>
      <c r="N4" t="e">
        <f>AND('Data base'!#REF!,"AAAAADfelQ0=")</f>
        <v>#REF!</v>
      </c>
      <c r="O4" t="e">
        <f>AND('Data base'!#REF!,"AAAAADfelQ4=")</f>
        <v>#REF!</v>
      </c>
      <c r="P4" t="e">
        <f>AND('Data base'!#REF!,"AAAAADfelQ8=")</f>
        <v>#REF!</v>
      </c>
      <c r="Q4" t="e">
        <f>AND('Data base'!#REF!,"AAAAADfelRA=")</f>
        <v>#REF!</v>
      </c>
      <c r="R4" t="e">
        <f>AND('Data base'!#REF!,"AAAAADfelRE=")</f>
        <v>#REF!</v>
      </c>
      <c r="S4" t="e">
        <f>AND('Data base'!#REF!,"AAAAADfelRI=")</f>
        <v>#REF!</v>
      </c>
      <c r="T4" t="e">
        <f>AND('Data base'!#REF!,"AAAAADfelRM=")</f>
        <v>#REF!</v>
      </c>
      <c r="U4" t="e">
        <f>AND('Data base'!#REF!,"AAAAADfelRQ=")</f>
        <v>#REF!</v>
      </c>
      <c r="V4" t="e">
        <f>AND('Data base'!#REF!,"AAAAADfelRU=")</f>
        <v>#REF!</v>
      </c>
      <c r="W4">
        <f>IF('Data base'!24:24,"AAAAADfelRY=",0)</f>
        <v>0</v>
      </c>
      <c r="X4" t="e">
        <f>AND('Data base'!A24,"AAAAADfelRc=")</f>
        <v>#VALUE!</v>
      </c>
      <c r="Y4" t="e">
        <f>AND('Data base'!B24,"AAAAADfelRg=")</f>
        <v>#VALUE!</v>
      </c>
      <c r="Z4" t="e">
        <f>AND('Data base'!#REF!,"AAAAADfelRk=")</f>
        <v>#REF!</v>
      </c>
      <c r="AA4" t="e">
        <f>AND('Data base'!#REF!,"AAAAADfelRo=")</f>
        <v>#REF!</v>
      </c>
      <c r="AB4" t="e">
        <f>AND('Data base'!#REF!,"AAAAADfelRs=")</f>
        <v>#REF!</v>
      </c>
      <c r="AC4" t="e">
        <f>AND('Data base'!#REF!,"AAAAADfelRw=")</f>
        <v>#REF!</v>
      </c>
      <c r="AD4" t="e">
        <f>AND('Data base'!#REF!,"AAAAADfelR0=")</f>
        <v>#REF!</v>
      </c>
      <c r="AE4" t="e">
        <f>AND('Data base'!#REF!,"AAAAADfelR4=")</f>
        <v>#REF!</v>
      </c>
      <c r="AF4" t="e">
        <f>AND('Data base'!#REF!,"AAAAADfelR8=")</f>
        <v>#REF!</v>
      </c>
      <c r="AG4" t="e">
        <f>AND('Data base'!#REF!,"AAAAADfelSA=")</f>
        <v>#REF!</v>
      </c>
      <c r="AH4" t="e">
        <f>AND('Data base'!#REF!,"AAAAADfelSE=")</f>
        <v>#REF!</v>
      </c>
      <c r="AI4" t="e">
        <f>AND('Data base'!#REF!,"AAAAADfelSI=")</f>
        <v>#REF!</v>
      </c>
      <c r="AJ4" t="e">
        <f>AND('Data base'!#REF!,"AAAAADfelSM=")</f>
        <v>#REF!</v>
      </c>
      <c r="AK4" t="e">
        <f>AND('Data base'!#REF!,"AAAAADfelSQ=")</f>
        <v>#REF!</v>
      </c>
      <c r="AL4" t="e">
        <f>AND('Data base'!#REF!,"AAAAADfelSU=")</f>
        <v>#REF!</v>
      </c>
      <c r="AM4">
        <f>IF('Data base'!25:25,"AAAAADfelSY=",0)</f>
        <v>0</v>
      </c>
      <c r="AN4" t="e">
        <f>AND('Data base'!A25,"AAAAADfelSc=")</f>
        <v>#VALUE!</v>
      </c>
      <c r="AO4" t="e">
        <f>AND('Data base'!B25,"AAAAADfelSg=")</f>
        <v>#VALUE!</v>
      </c>
      <c r="AP4" t="e">
        <f>AND('Data base'!#REF!,"AAAAADfelSk=")</f>
        <v>#REF!</v>
      </c>
      <c r="AQ4" t="e">
        <f>AND('Data base'!#REF!,"AAAAADfelSo=")</f>
        <v>#REF!</v>
      </c>
      <c r="AR4" t="e">
        <f>AND('Data base'!#REF!,"AAAAADfelSs=")</f>
        <v>#REF!</v>
      </c>
      <c r="AS4" t="e">
        <f>AND('Data base'!#REF!,"AAAAADfelSw=")</f>
        <v>#REF!</v>
      </c>
      <c r="AT4" t="e">
        <f>AND('Data base'!#REF!,"AAAAADfelS0=")</f>
        <v>#REF!</v>
      </c>
      <c r="AU4" t="e">
        <f>AND('Data base'!#REF!,"AAAAADfelS4=")</f>
        <v>#REF!</v>
      </c>
      <c r="AV4" t="e">
        <f>AND('Data base'!#REF!,"AAAAADfelS8=")</f>
        <v>#REF!</v>
      </c>
      <c r="AW4" t="e">
        <f>AND('Data base'!#REF!,"AAAAADfelTA=")</f>
        <v>#REF!</v>
      </c>
      <c r="AX4" t="e">
        <f>AND('Data base'!#REF!,"AAAAADfelTE=")</f>
        <v>#REF!</v>
      </c>
      <c r="AY4" t="e">
        <f>AND('Data base'!#REF!,"AAAAADfelTI=")</f>
        <v>#REF!</v>
      </c>
      <c r="AZ4" t="e">
        <f>AND('Data base'!#REF!,"AAAAADfelTM=")</f>
        <v>#REF!</v>
      </c>
      <c r="BA4" t="e">
        <f>AND('Data base'!#REF!,"AAAAADfelTQ=")</f>
        <v>#REF!</v>
      </c>
      <c r="BB4" t="e">
        <f>AND('Data base'!#REF!,"AAAAADfelTU=")</f>
        <v>#REF!</v>
      </c>
      <c r="BC4">
        <f>IF('Data base'!26:26,"AAAAADfelTY=",0)</f>
        <v>0</v>
      </c>
      <c r="BD4" t="e">
        <f>AND('Data base'!A26,"AAAAADfelTc=")</f>
        <v>#VALUE!</v>
      </c>
      <c r="BE4" t="e">
        <f>AND('Data base'!B26,"AAAAADfelTg=")</f>
        <v>#VALUE!</v>
      </c>
      <c r="BF4" t="e">
        <f>AND('Data base'!#REF!,"AAAAADfelTk=")</f>
        <v>#REF!</v>
      </c>
      <c r="BG4" t="e">
        <f>AND('Data base'!#REF!,"AAAAADfelTo=")</f>
        <v>#REF!</v>
      </c>
      <c r="BH4" t="e">
        <f>AND('Data base'!#REF!,"AAAAADfelTs=")</f>
        <v>#REF!</v>
      </c>
      <c r="BI4" t="e">
        <f>AND('Data base'!#REF!,"AAAAADfelTw=")</f>
        <v>#REF!</v>
      </c>
      <c r="BJ4" t="e">
        <f>AND('Data base'!#REF!,"AAAAADfelT0=")</f>
        <v>#REF!</v>
      </c>
      <c r="BK4" t="e">
        <f>AND('Data base'!#REF!,"AAAAADfelT4=")</f>
        <v>#REF!</v>
      </c>
      <c r="BL4" t="e">
        <f>AND('Data base'!#REF!,"AAAAADfelT8=")</f>
        <v>#REF!</v>
      </c>
      <c r="BM4" t="e">
        <f>AND('Data base'!#REF!,"AAAAADfelUA=")</f>
        <v>#REF!</v>
      </c>
      <c r="BN4" t="e">
        <f>AND('Data base'!#REF!,"AAAAADfelUE=")</f>
        <v>#REF!</v>
      </c>
      <c r="BO4" t="e">
        <f>AND('Data base'!#REF!,"AAAAADfelUI=")</f>
        <v>#REF!</v>
      </c>
      <c r="BP4" t="e">
        <f>AND('Data base'!#REF!,"AAAAADfelUM=")</f>
        <v>#REF!</v>
      </c>
      <c r="BQ4" t="e">
        <f>AND('Data base'!#REF!,"AAAAADfelUQ=")</f>
        <v>#REF!</v>
      </c>
      <c r="BR4" t="e">
        <f>AND('Data base'!#REF!,"AAAAADfelUU=")</f>
        <v>#REF!</v>
      </c>
      <c r="BS4">
        <f>IF('Data base'!27:27,"AAAAADfelUY=",0)</f>
        <v>0</v>
      </c>
      <c r="BT4" t="e">
        <f>AND('Data base'!A27,"AAAAADfelUc=")</f>
        <v>#VALUE!</v>
      </c>
      <c r="BU4" t="e">
        <f>AND('Data base'!B27,"AAAAADfelUg=")</f>
        <v>#VALUE!</v>
      </c>
      <c r="BV4" t="e">
        <f>AND('Data base'!#REF!,"AAAAADfelUk=")</f>
        <v>#REF!</v>
      </c>
      <c r="BW4" t="e">
        <f>AND('Data base'!#REF!,"AAAAADfelUo=")</f>
        <v>#REF!</v>
      </c>
      <c r="BX4" t="e">
        <f>AND('Data base'!#REF!,"AAAAADfelUs=")</f>
        <v>#REF!</v>
      </c>
      <c r="BY4" t="e">
        <f>AND('Data base'!#REF!,"AAAAADfelUw=")</f>
        <v>#REF!</v>
      </c>
      <c r="BZ4" t="e">
        <f>AND('Data base'!#REF!,"AAAAADfelU0=")</f>
        <v>#REF!</v>
      </c>
      <c r="CA4" t="e">
        <f>AND('Data base'!#REF!,"AAAAADfelU4=")</f>
        <v>#REF!</v>
      </c>
      <c r="CB4" t="e">
        <f>AND('Data base'!#REF!,"AAAAADfelU8=")</f>
        <v>#REF!</v>
      </c>
      <c r="CC4" t="e">
        <f>AND('Data base'!#REF!,"AAAAADfelVA=")</f>
        <v>#REF!</v>
      </c>
      <c r="CD4" t="e">
        <f>AND('Data base'!#REF!,"AAAAADfelVE=")</f>
        <v>#REF!</v>
      </c>
      <c r="CE4" t="e">
        <f>AND('Data base'!#REF!,"AAAAADfelVI=")</f>
        <v>#REF!</v>
      </c>
      <c r="CF4" t="e">
        <f>AND('Data base'!#REF!,"AAAAADfelVM=")</f>
        <v>#REF!</v>
      </c>
      <c r="CG4" t="e">
        <f>AND('Data base'!#REF!,"AAAAADfelVQ=")</f>
        <v>#REF!</v>
      </c>
      <c r="CH4" t="e">
        <f>AND('Data base'!#REF!,"AAAAADfelVU=")</f>
        <v>#REF!</v>
      </c>
      <c r="CI4">
        <f>IF('Data base'!28:28,"AAAAADfelVY=",0)</f>
        <v>0</v>
      </c>
      <c r="CJ4" t="e">
        <f>AND('Data base'!A28,"AAAAADfelVc=")</f>
        <v>#VALUE!</v>
      </c>
      <c r="CK4" t="e">
        <f>AND('Data base'!B28,"AAAAADfelVg=")</f>
        <v>#VALUE!</v>
      </c>
      <c r="CL4" t="e">
        <f>AND('Data base'!#REF!,"AAAAADfelVk=")</f>
        <v>#REF!</v>
      </c>
      <c r="CM4" t="e">
        <f>AND('Data base'!#REF!,"AAAAADfelVo=")</f>
        <v>#REF!</v>
      </c>
      <c r="CN4" t="e">
        <f>AND('Data base'!#REF!,"AAAAADfelVs=")</f>
        <v>#REF!</v>
      </c>
      <c r="CO4" t="e">
        <f>AND('Data base'!#REF!,"AAAAADfelVw=")</f>
        <v>#REF!</v>
      </c>
      <c r="CP4" t="e">
        <f>AND('Data base'!#REF!,"AAAAADfelV0=")</f>
        <v>#REF!</v>
      </c>
      <c r="CQ4" t="e">
        <f>AND('Data base'!#REF!,"AAAAADfelV4=")</f>
        <v>#REF!</v>
      </c>
      <c r="CR4" t="e">
        <f>AND('Data base'!#REF!,"AAAAADfelV8=")</f>
        <v>#REF!</v>
      </c>
      <c r="CS4" t="e">
        <f>AND('Data base'!#REF!,"AAAAADfelWA=")</f>
        <v>#REF!</v>
      </c>
      <c r="CT4" t="e">
        <f>AND('Data base'!#REF!,"AAAAADfelWE=")</f>
        <v>#REF!</v>
      </c>
      <c r="CU4" t="e">
        <f>AND('Data base'!#REF!,"AAAAADfelWI=")</f>
        <v>#REF!</v>
      </c>
      <c r="CV4" t="e">
        <f>AND('Data base'!#REF!,"AAAAADfelWM=")</f>
        <v>#REF!</v>
      </c>
      <c r="CW4" t="e">
        <f>AND('Data base'!#REF!,"AAAAADfelWQ=")</f>
        <v>#REF!</v>
      </c>
      <c r="CX4" t="e">
        <f>AND('Data base'!#REF!,"AAAAADfelWU=")</f>
        <v>#REF!</v>
      </c>
      <c r="CY4">
        <f>IF('Data base'!29:29,"AAAAADfelWY=",0)</f>
        <v>0</v>
      </c>
      <c r="CZ4">
        <f>IF('Data base'!30:30,"AAAAADfelWc=",0)</f>
        <v>0</v>
      </c>
      <c r="DA4" t="e">
        <f>IF('Data base'!#REF!,"AAAAADfelWg=",0)</f>
        <v>#REF!</v>
      </c>
      <c r="DB4" t="e">
        <f>IF('Data base'!#REF!,"AAAAADfelWk=",0)</f>
        <v>#REF!</v>
      </c>
      <c r="DC4" t="e">
        <f>IF('Data base'!#REF!,"AAAAADfelWo=",0)</f>
        <v>#REF!</v>
      </c>
      <c r="DD4">
        <f>IF('Data base'!31:31,"AAAAADfelWs=",0)</f>
        <v>0</v>
      </c>
      <c r="DE4">
        <f>IF('Data base'!32:32,"AAAAADfelWw=",0)</f>
        <v>0</v>
      </c>
      <c r="DF4">
        <f>IF('Data base'!33:33,"AAAAADfelW0=",0)</f>
        <v>0</v>
      </c>
      <c r="DG4">
        <f>IF('Data base'!34:34,"AAAAADfelW4=",0)</f>
        <v>0</v>
      </c>
      <c r="DH4">
        <f>IF('Data base'!35:35,"AAAAADfelW8=",0)</f>
        <v>0</v>
      </c>
      <c r="DI4">
        <f>IF('Data base'!36:36,"AAAAADfelXA=",0)</f>
        <v>0</v>
      </c>
      <c r="DJ4">
        <f>IF('Data base'!37:37,"AAAAADfelXE=",0)</f>
        <v>0</v>
      </c>
      <c r="DK4">
        <f>IF('Data base'!38:38,"AAAAADfelXI=",0)</f>
        <v>0</v>
      </c>
      <c r="DL4">
        <f>IF('Data base'!39:39,"AAAAADfelXM=",0)</f>
        <v>0</v>
      </c>
      <c r="DM4">
        <f>IF('Data base'!40:40,"AAAAADfelXQ=",0)</f>
        <v>0</v>
      </c>
      <c r="DN4">
        <f>IF('Data base'!41:41,"AAAAADfelXU=",0)</f>
        <v>0</v>
      </c>
      <c r="DO4">
        <f>IF('Data base'!42:42,"AAAAADfelXY=",0)</f>
        <v>0</v>
      </c>
      <c r="DP4">
        <f>IF('Data base'!43:43,"AAAAADfelXc=",0)</f>
        <v>0</v>
      </c>
      <c r="DQ4">
        <f>IF('Data base'!44:44,"AAAAADfelXg=",0)</f>
        <v>0</v>
      </c>
      <c r="DR4">
        <f>IF('Data base'!45:45,"AAAAADfelXk=",0)</f>
        <v>0</v>
      </c>
      <c r="DS4">
        <f>IF('Data base'!46:46,"AAAAADfelXo=",0)</f>
        <v>0</v>
      </c>
      <c r="DT4">
        <f>IF('Data base'!47:47,"AAAAADfelXs=",0)</f>
        <v>0</v>
      </c>
      <c r="DU4" t="e">
        <f>IF('Data base'!A:A,"AAAAADfelXw=",0)</f>
        <v>#VALUE!</v>
      </c>
      <c r="DV4" t="str">
        <f>IF('Data base'!B:B,"AAAAADfelX0=",0)</f>
        <v>AAAAADfelX0=</v>
      </c>
      <c r="DW4" t="e">
        <f>IF('Data base'!#REF!,"AAAAADfelX4=",0)</f>
        <v>#REF!</v>
      </c>
      <c r="DX4" t="e">
        <f>IF('Data base'!#REF!,"AAAAADfelX8=",0)</f>
        <v>#REF!</v>
      </c>
      <c r="DY4" t="e">
        <f>IF('Data base'!#REF!,"AAAAADfelYA=",0)</f>
        <v>#REF!</v>
      </c>
      <c r="DZ4" t="e">
        <f>IF('Data base'!#REF!,"AAAAADfelYE=",0)</f>
        <v>#REF!</v>
      </c>
      <c r="EA4" t="e">
        <f>IF('Data base'!#REF!,"AAAAADfelYI=",0)</f>
        <v>#REF!</v>
      </c>
      <c r="EB4" t="e">
        <f>IF('Data base'!#REF!,"AAAAADfelYM=",0)</f>
        <v>#REF!</v>
      </c>
      <c r="EC4" t="e">
        <f>IF('Data base'!#REF!,"AAAAADfelYQ=",0)</f>
        <v>#REF!</v>
      </c>
      <c r="ED4" t="e">
        <f>IF('Data base'!#REF!,"AAAAADfelYU=",0)</f>
        <v>#REF!</v>
      </c>
      <c r="EE4" t="e">
        <f>IF('Data base'!#REF!,"AAAAADfelYY=",0)</f>
        <v>#REF!</v>
      </c>
      <c r="EF4" t="e">
        <f>IF('Data base'!#REF!,"AAAAADfelYc=",0)</f>
        <v>#REF!</v>
      </c>
      <c r="EG4" t="e">
        <f>IF('Data base'!#REF!,"AAAAADfelYg=",0)</f>
        <v>#REF!</v>
      </c>
      <c r="EH4" t="e">
        <f>IF('Data base'!#REF!,"AAAAADfelYk=",0)</f>
        <v>#REF!</v>
      </c>
      <c r="EI4" t="e">
        <f>IF('Data base'!#REF!,"AAAAADfelYo=",0)</f>
        <v>#REF!</v>
      </c>
      <c r="EJ4">
        <f>IF('Cost data'!1:1,"AAAAADfelYs=",0)</f>
        <v>0</v>
      </c>
      <c r="EK4" t="e">
        <f>AND('Cost data'!A1,"AAAAADfelYw=")</f>
        <v>#VALUE!</v>
      </c>
      <c r="EL4" t="e">
        <f>AND('Cost data'!B1,"AAAAADfelY0=")</f>
        <v>#VALUE!</v>
      </c>
      <c r="EM4" t="e">
        <f>AND('Cost data'!#REF!,"AAAAADfelY4=")</f>
        <v>#REF!</v>
      </c>
      <c r="EN4" t="e">
        <f>AND('Cost data'!#REF!,"AAAAADfelY8=")</f>
        <v>#REF!</v>
      </c>
      <c r="EO4" t="e">
        <f>AND('Cost data'!#REF!,"AAAAADfelZA=")</f>
        <v>#REF!</v>
      </c>
      <c r="EP4" t="e">
        <f>AND('Cost data'!#REF!,"AAAAADfelZE=")</f>
        <v>#REF!</v>
      </c>
      <c r="EQ4">
        <f>IF('Cost data'!2:2,"AAAAADfelZI=",0)</f>
        <v>0</v>
      </c>
      <c r="ER4" t="e">
        <f>AND('Cost data'!A2,"AAAAADfelZM=")</f>
        <v>#VALUE!</v>
      </c>
      <c r="ES4" t="e">
        <f>AND('Cost data'!B2,"AAAAADfelZQ=")</f>
        <v>#VALUE!</v>
      </c>
      <c r="ET4" t="e">
        <f>AND('Cost data'!#REF!,"AAAAADfelZU=")</f>
        <v>#REF!</v>
      </c>
      <c r="EU4" t="e">
        <f>AND('Cost data'!#REF!,"AAAAADfelZY=")</f>
        <v>#REF!</v>
      </c>
      <c r="EV4" t="e">
        <f>AND('Cost data'!#REF!,"AAAAADfelZc=")</f>
        <v>#REF!</v>
      </c>
      <c r="EW4" t="e">
        <f>AND('Cost data'!#REF!,"AAAAADfelZg=")</f>
        <v>#REF!</v>
      </c>
      <c r="EX4">
        <f>IF('Cost data'!3:3,"AAAAADfelZk=",0)</f>
        <v>0</v>
      </c>
      <c r="EY4" t="e">
        <f>AND('Cost data'!A3,"AAAAADfelZo=")</f>
        <v>#VALUE!</v>
      </c>
      <c r="EZ4" t="e">
        <f>AND('Cost data'!B3,"AAAAADfelZs=")</f>
        <v>#VALUE!</v>
      </c>
      <c r="FA4" t="e">
        <f>AND('Cost data'!#REF!,"AAAAADfelZw=")</f>
        <v>#REF!</v>
      </c>
      <c r="FB4" t="e">
        <f>AND('Cost data'!#REF!,"AAAAADfelZ0=")</f>
        <v>#REF!</v>
      </c>
      <c r="FC4" t="e">
        <f>AND('Cost data'!#REF!,"AAAAADfelZ4=")</f>
        <v>#REF!</v>
      </c>
      <c r="FD4" t="e">
        <f>AND('Cost data'!#REF!,"AAAAADfelZ8=")</f>
        <v>#REF!</v>
      </c>
      <c r="FE4">
        <f>IF('Cost data'!4:4,"AAAAADfelaA=",0)</f>
        <v>0</v>
      </c>
      <c r="FF4" t="e">
        <f>AND('Cost data'!A4,"AAAAADfelaE=")</f>
        <v>#VALUE!</v>
      </c>
      <c r="FG4" t="e">
        <f>AND('Cost data'!B4,"AAAAADfelaI=")</f>
        <v>#VALUE!</v>
      </c>
      <c r="FH4" t="e">
        <f>AND('Cost data'!#REF!,"AAAAADfelaM=")</f>
        <v>#REF!</v>
      </c>
      <c r="FI4" t="e">
        <f>AND('Cost data'!#REF!,"AAAAADfelaQ=")</f>
        <v>#REF!</v>
      </c>
      <c r="FJ4" t="e">
        <f>AND('Cost data'!#REF!,"AAAAADfelaU=")</f>
        <v>#REF!</v>
      </c>
      <c r="FK4" t="e">
        <f>AND('Cost data'!#REF!,"AAAAADfelaY=")</f>
        <v>#REF!</v>
      </c>
      <c r="FL4">
        <f>IF('Cost data'!5:5,"AAAAADfelac=",0)</f>
        <v>0</v>
      </c>
      <c r="FM4" t="e">
        <f>AND('Cost data'!A5,"AAAAADfelag=")</f>
        <v>#VALUE!</v>
      </c>
      <c r="FN4" t="e">
        <f>AND('Cost data'!B5,"AAAAADfelak=")</f>
        <v>#VALUE!</v>
      </c>
      <c r="FO4" t="e">
        <f>AND('Cost data'!#REF!,"AAAAADfelao=")</f>
        <v>#REF!</v>
      </c>
      <c r="FP4" t="e">
        <f>AND('Cost data'!#REF!,"AAAAADfelas=")</f>
        <v>#REF!</v>
      </c>
      <c r="FQ4" t="e">
        <f>AND('Cost data'!#REF!,"AAAAADfelaw=")</f>
        <v>#REF!</v>
      </c>
      <c r="FR4" t="e">
        <f>AND('Cost data'!#REF!,"AAAAADfela0=")</f>
        <v>#REF!</v>
      </c>
      <c r="FS4">
        <f>IF('Cost data'!6:6,"AAAAADfela4=",0)</f>
        <v>0</v>
      </c>
      <c r="FT4" t="e">
        <f>AND('Cost data'!A6,"AAAAADfela8=")</f>
        <v>#VALUE!</v>
      </c>
      <c r="FU4" t="e">
        <f>AND('Cost data'!B6,"AAAAADfelbA=")</f>
        <v>#VALUE!</v>
      </c>
      <c r="FV4" t="e">
        <f>AND('Cost data'!#REF!,"AAAAADfelbE=")</f>
        <v>#REF!</v>
      </c>
      <c r="FW4" t="e">
        <f>AND('Cost data'!#REF!,"AAAAADfelbI=")</f>
        <v>#REF!</v>
      </c>
      <c r="FX4" t="e">
        <f>AND('Cost data'!#REF!,"AAAAADfelbM=")</f>
        <v>#REF!</v>
      </c>
      <c r="FY4" t="e">
        <f>AND('Cost data'!#REF!,"AAAAADfelbQ=")</f>
        <v>#REF!</v>
      </c>
      <c r="FZ4">
        <f>IF('Cost data'!7:7,"AAAAADfelbU=",0)</f>
        <v>0</v>
      </c>
      <c r="GA4" t="e">
        <f>AND('Cost data'!A7,"AAAAADfelbY=")</f>
        <v>#VALUE!</v>
      </c>
      <c r="GB4" t="e">
        <f>AND('Cost data'!B7,"AAAAADfelbc=")</f>
        <v>#VALUE!</v>
      </c>
      <c r="GC4" t="e">
        <f>AND('Cost data'!#REF!,"AAAAADfelbg=")</f>
        <v>#REF!</v>
      </c>
      <c r="GD4" t="e">
        <f>AND('Cost data'!#REF!,"AAAAADfelbk=")</f>
        <v>#REF!</v>
      </c>
      <c r="GE4" t="e">
        <f>AND('Cost data'!#REF!,"AAAAADfelbo=")</f>
        <v>#REF!</v>
      </c>
      <c r="GF4" t="e">
        <f>AND('Cost data'!#REF!,"AAAAADfelbs=")</f>
        <v>#REF!</v>
      </c>
      <c r="GG4">
        <f>IF('Cost data'!8:8,"AAAAADfelbw=",0)</f>
        <v>0</v>
      </c>
      <c r="GH4" t="e">
        <f>AND('Cost data'!A8,"AAAAADfelb0=")</f>
        <v>#VALUE!</v>
      </c>
      <c r="GI4" t="e">
        <f>AND('Cost data'!B8,"AAAAADfelb4=")</f>
        <v>#VALUE!</v>
      </c>
      <c r="GJ4" t="e">
        <f>AND('Cost data'!#REF!,"AAAAADfelb8=")</f>
        <v>#REF!</v>
      </c>
      <c r="GK4" t="e">
        <f>AND('Cost data'!#REF!,"AAAAADfelcA=")</f>
        <v>#REF!</v>
      </c>
      <c r="GL4" t="e">
        <f>AND('Cost data'!#REF!,"AAAAADfelcE=")</f>
        <v>#REF!</v>
      </c>
      <c r="GM4" t="e">
        <f>AND('Cost data'!#REF!,"AAAAADfelcI=")</f>
        <v>#REF!</v>
      </c>
      <c r="GN4" t="e">
        <f>IF('Cost data'!#REF!,"AAAAADfelcM=",0)</f>
        <v>#REF!</v>
      </c>
      <c r="GO4" t="e">
        <f>AND('Cost data'!#REF!,"AAAAADfelcQ=")</f>
        <v>#REF!</v>
      </c>
      <c r="GP4" t="e">
        <f>AND('Cost data'!#REF!,"AAAAADfelcU=")</f>
        <v>#REF!</v>
      </c>
      <c r="GQ4" t="e">
        <f>AND('Cost data'!#REF!,"AAAAADfelcY=")</f>
        <v>#REF!</v>
      </c>
      <c r="GR4" t="e">
        <f>AND('Cost data'!#REF!,"AAAAADfelcc=")</f>
        <v>#REF!</v>
      </c>
      <c r="GS4" t="e">
        <f>AND('Cost data'!#REF!,"AAAAADfelcg=")</f>
        <v>#REF!</v>
      </c>
      <c r="GT4" t="e">
        <f>AND('Cost data'!#REF!,"AAAAADfelck=")</f>
        <v>#REF!</v>
      </c>
      <c r="GU4">
        <f>IF('Cost data'!9:9,"AAAAADfelco=",0)</f>
        <v>0</v>
      </c>
      <c r="GV4" t="e">
        <f>AND('Cost data'!A9,"AAAAADfelcs=")</f>
        <v>#VALUE!</v>
      </c>
      <c r="GW4" t="e">
        <f>AND('Cost data'!B9,"AAAAADfelcw=")</f>
        <v>#VALUE!</v>
      </c>
      <c r="GX4" t="e">
        <f>AND('Cost data'!#REF!,"AAAAADfelc0=")</f>
        <v>#REF!</v>
      </c>
      <c r="GY4" t="e">
        <f>AND('Cost data'!#REF!,"AAAAADfelc4=")</f>
        <v>#REF!</v>
      </c>
      <c r="GZ4" t="e">
        <f>AND('Cost data'!#REF!,"AAAAADfelc8=")</f>
        <v>#REF!</v>
      </c>
      <c r="HA4" t="e">
        <f>AND('Cost data'!#REF!,"AAAAADfeldA=")</f>
        <v>#REF!</v>
      </c>
      <c r="HB4">
        <f>IF('Cost data'!10:10,"AAAAADfeldE=",0)</f>
        <v>0</v>
      </c>
      <c r="HC4" t="e">
        <f>AND('Cost data'!A10,"AAAAADfeldI=")</f>
        <v>#VALUE!</v>
      </c>
      <c r="HD4" t="e">
        <f>AND('Cost data'!B10,"AAAAADfeldM=")</f>
        <v>#VALUE!</v>
      </c>
      <c r="HE4" t="e">
        <f>AND('Cost data'!#REF!,"AAAAADfeldQ=")</f>
        <v>#REF!</v>
      </c>
      <c r="HF4" t="e">
        <f>AND('Cost data'!#REF!,"AAAAADfeldU=")</f>
        <v>#REF!</v>
      </c>
      <c r="HG4" t="e">
        <f>AND('Cost data'!#REF!,"AAAAADfeldY=")</f>
        <v>#REF!</v>
      </c>
      <c r="HH4" t="e">
        <f>AND('Cost data'!#REF!,"AAAAADfeldc=")</f>
        <v>#REF!</v>
      </c>
      <c r="HI4">
        <f>IF('Cost data'!11:11,"AAAAADfeldg=",0)</f>
        <v>0</v>
      </c>
      <c r="HJ4" t="e">
        <f>AND('Cost data'!A11,"AAAAADfeldk=")</f>
        <v>#VALUE!</v>
      </c>
      <c r="HK4" t="e">
        <f>AND('Cost data'!B11,"AAAAADfeldo=")</f>
        <v>#VALUE!</v>
      </c>
      <c r="HL4" t="e">
        <f>AND('Cost data'!#REF!,"AAAAADfelds=")</f>
        <v>#REF!</v>
      </c>
      <c r="HM4" t="e">
        <f>AND('Cost data'!#REF!,"AAAAADfeldw=")</f>
        <v>#REF!</v>
      </c>
      <c r="HN4" t="e">
        <f>AND('Cost data'!#REF!,"AAAAADfeld0=")</f>
        <v>#REF!</v>
      </c>
      <c r="HO4" t="e">
        <f>AND('Cost data'!#REF!,"AAAAADfeld4=")</f>
        <v>#REF!</v>
      </c>
      <c r="HP4">
        <f>IF('Cost data'!12:12,"AAAAADfeld8=",0)</f>
        <v>0</v>
      </c>
      <c r="HQ4" t="e">
        <f>AND('Cost data'!A12,"AAAAADfeleA=")</f>
        <v>#VALUE!</v>
      </c>
      <c r="HR4" t="e">
        <f>AND('Cost data'!B12,"AAAAADfeleE=")</f>
        <v>#VALUE!</v>
      </c>
      <c r="HS4" t="e">
        <f>AND('Cost data'!#REF!,"AAAAADfeleI=")</f>
        <v>#REF!</v>
      </c>
      <c r="HT4" t="e">
        <f>AND('Cost data'!#REF!,"AAAAADfeleM=")</f>
        <v>#REF!</v>
      </c>
      <c r="HU4" t="e">
        <f>AND('Cost data'!#REF!,"AAAAADfeleQ=")</f>
        <v>#REF!</v>
      </c>
      <c r="HV4" t="e">
        <f>AND('Cost data'!#REF!,"AAAAADfeleU=")</f>
        <v>#REF!</v>
      </c>
      <c r="HW4">
        <f>IF('Cost data'!13:13,"AAAAADfeleY=",0)</f>
        <v>0</v>
      </c>
      <c r="HX4" t="e">
        <f>AND('Cost data'!A13,"AAAAADfelec=")</f>
        <v>#VALUE!</v>
      </c>
      <c r="HY4" t="e">
        <f>AND('Cost data'!B13,"AAAAADfeleg=")</f>
        <v>#VALUE!</v>
      </c>
      <c r="HZ4" t="e">
        <f>AND('Cost data'!#REF!,"AAAAADfelek=")</f>
        <v>#REF!</v>
      </c>
      <c r="IA4" t="e">
        <f>AND('Cost data'!#REF!,"AAAAADfeleo=")</f>
        <v>#REF!</v>
      </c>
      <c r="IB4" t="e">
        <f>AND('Cost data'!#REF!,"AAAAADfeles=")</f>
        <v>#REF!</v>
      </c>
      <c r="IC4" t="e">
        <f>AND('Cost data'!#REF!,"AAAAADfelew=")</f>
        <v>#REF!</v>
      </c>
      <c r="ID4">
        <f>IF('Cost data'!14:14,"AAAAADfele0=",0)</f>
        <v>0</v>
      </c>
      <c r="IE4" t="e">
        <f>AND('Cost data'!A14,"AAAAADfele4=")</f>
        <v>#VALUE!</v>
      </c>
      <c r="IF4" t="e">
        <f>AND('Cost data'!B14,"AAAAADfele8=")</f>
        <v>#VALUE!</v>
      </c>
      <c r="IG4" t="e">
        <f>AND('Cost data'!#REF!,"AAAAADfelfA=")</f>
        <v>#REF!</v>
      </c>
      <c r="IH4" t="e">
        <f>AND('Cost data'!#REF!,"AAAAADfelfE=")</f>
        <v>#REF!</v>
      </c>
      <c r="II4" t="e">
        <f>AND('Cost data'!#REF!,"AAAAADfelfI=")</f>
        <v>#REF!</v>
      </c>
      <c r="IJ4" t="e">
        <f>AND('Cost data'!#REF!,"AAAAADfelfM=")</f>
        <v>#REF!</v>
      </c>
      <c r="IK4">
        <f>IF('Cost data'!15:15,"AAAAADfelfQ=",0)</f>
        <v>0</v>
      </c>
      <c r="IL4" t="e">
        <f>AND('Cost data'!A15,"AAAAADfelfU=")</f>
        <v>#VALUE!</v>
      </c>
      <c r="IM4" t="e">
        <f>AND('Cost data'!B15,"AAAAADfelfY=")</f>
        <v>#VALUE!</v>
      </c>
      <c r="IN4" t="e">
        <f>AND('Cost data'!#REF!,"AAAAADfelfc=")</f>
        <v>#REF!</v>
      </c>
      <c r="IO4" t="e">
        <f>AND('Cost data'!#REF!,"AAAAADfelfg=")</f>
        <v>#REF!</v>
      </c>
      <c r="IP4" t="e">
        <f>AND('Cost data'!#REF!,"AAAAADfelfk=")</f>
        <v>#REF!</v>
      </c>
      <c r="IQ4" t="e">
        <f>AND('Cost data'!#REF!,"AAAAADfelfo=")</f>
        <v>#REF!</v>
      </c>
      <c r="IR4" t="e">
        <f>IF('Cost data'!#REF!,"AAAAADfelfs=",0)</f>
        <v>#REF!</v>
      </c>
      <c r="IS4" t="e">
        <f>AND('Cost data'!#REF!,"AAAAADfelfw=")</f>
        <v>#REF!</v>
      </c>
      <c r="IT4" t="e">
        <f>AND('Cost data'!#REF!,"AAAAADfelf0=")</f>
        <v>#REF!</v>
      </c>
      <c r="IU4" t="e">
        <f>AND('Cost data'!#REF!,"AAAAADfelf4=")</f>
        <v>#REF!</v>
      </c>
      <c r="IV4" t="e">
        <f>AND('Cost data'!#REF!,"AAAAADfelf8=")</f>
        <v>#REF!</v>
      </c>
    </row>
    <row r="5" spans="1:256" x14ac:dyDescent="0.2">
      <c r="A5" t="e">
        <f>AND('Cost data'!#REF!,"AAAAAB/3/wA=")</f>
        <v>#REF!</v>
      </c>
      <c r="B5" t="e">
        <f>AND('Cost data'!#REF!,"AAAAAB/3/wE=")</f>
        <v>#REF!</v>
      </c>
      <c r="C5" t="e">
        <f>IF('Cost data'!#REF!,"AAAAAB/3/wI=",0)</f>
        <v>#REF!</v>
      </c>
      <c r="D5" t="e">
        <f>AND('Cost data'!#REF!,"AAAAAB/3/wM=")</f>
        <v>#REF!</v>
      </c>
      <c r="E5" t="e">
        <f>AND('Cost data'!#REF!,"AAAAAB/3/wQ=")</f>
        <v>#REF!</v>
      </c>
      <c r="F5" t="e">
        <f>AND('Cost data'!#REF!,"AAAAAB/3/wU=")</f>
        <v>#REF!</v>
      </c>
      <c r="G5" t="e">
        <f>AND('Cost data'!#REF!,"AAAAAB/3/wY=")</f>
        <v>#REF!</v>
      </c>
      <c r="H5" t="e">
        <f>AND('Cost data'!#REF!,"AAAAAB/3/wc=")</f>
        <v>#REF!</v>
      </c>
      <c r="I5" t="e">
        <f>AND('Cost data'!#REF!,"AAAAAB/3/wg=")</f>
        <v>#REF!</v>
      </c>
      <c r="J5" t="e">
        <f>IF('Cost data'!#REF!,"AAAAAB/3/wk=",0)</f>
        <v>#REF!</v>
      </c>
      <c r="K5" t="e">
        <f>AND('Cost data'!#REF!,"AAAAAB/3/wo=")</f>
        <v>#REF!</v>
      </c>
      <c r="L5" t="e">
        <f>AND('Cost data'!#REF!,"AAAAAB/3/ws=")</f>
        <v>#REF!</v>
      </c>
      <c r="M5" t="e">
        <f>AND('Cost data'!#REF!,"AAAAAB/3/ww=")</f>
        <v>#REF!</v>
      </c>
      <c r="N5" t="e">
        <f>AND('Cost data'!#REF!,"AAAAAB/3/w0=")</f>
        <v>#REF!</v>
      </c>
      <c r="O5" t="e">
        <f>AND('Cost data'!#REF!,"AAAAAB/3/w4=")</f>
        <v>#REF!</v>
      </c>
      <c r="P5" t="e">
        <f>AND('Cost data'!#REF!,"AAAAAB/3/w8=")</f>
        <v>#REF!</v>
      </c>
      <c r="Q5" t="e">
        <f>IF('Cost data'!#REF!,"AAAAAB/3/xA=",0)</f>
        <v>#REF!</v>
      </c>
      <c r="R5" t="e">
        <f>AND('Cost data'!#REF!,"AAAAAB/3/xE=")</f>
        <v>#REF!</v>
      </c>
      <c r="S5" t="e">
        <f>AND('Cost data'!#REF!,"AAAAAB/3/xI=")</f>
        <v>#REF!</v>
      </c>
      <c r="T5" t="e">
        <f>AND('Cost data'!#REF!,"AAAAAB/3/xM=")</f>
        <v>#REF!</v>
      </c>
      <c r="U5" t="e">
        <f>AND('Cost data'!#REF!,"AAAAAB/3/xQ=")</f>
        <v>#REF!</v>
      </c>
      <c r="V5" t="e">
        <f>AND('Cost data'!#REF!,"AAAAAB/3/xU=")</f>
        <v>#REF!</v>
      </c>
      <c r="W5" t="e">
        <f>AND('Cost data'!#REF!,"AAAAAB/3/xY=")</f>
        <v>#REF!</v>
      </c>
      <c r="X5" t="e">
        <f>IF('Cost data'!#REF!,"AAAAAB/3/xc=",0)</f>
        <v>#REF!</v>
      </c>
      <c r="Y5" t="e">
        <f>AND('Cost data'!#REF!,"AAAAAB/3/xg=")</f>
        <v>#REF!</v>
      </c>
      <c r="Z5" t="e">
        <f>AND('Cost data'!#REF!,"AAAAAB/3/xk=")</f>
        <v>#REF!</v>
      </c>
      <c r="AA5" t="e">
        <f>AND('Cost data'!#REF!,"AAAAAB/3/xo=")</f>
        <v>#REF!</v>
      </c>
      <c r="AB5" t="e">
        <f>AND('Cost data'!#REF!,"AAAAAB/3/xs=")</f>
        <v>#REF!</v>
      </c>
      <c r="AC5" t="e">
        <f>AND('Cost data'!#REF!,"AAAAAB/3/xw=")</f>
        <v>#REF!</v>
      </c>
      <c r="AD5" t="e">
        <f>AND('Cost data'!#REF!,"AAAAAB/3/x0=")</f>
        <v>#REF!</v>
      </c>
      <c r="AE5">
        <f>IF('Cost data'!24:24,"AAAAAB/3/x4=",0)</f>
        <v>0</v>
      </c>
      <c r="AF5" t="e">
        <f>AND('Cost data'!A24,"AAAAAB/3/x8=")</f>
        <v>#VALUE!</v>
      </c>
      <c r="AG5" t="e">
        <f>AND('Cost data'!B24,"AAAAAB/3/yA=")</f>
        <v>#VALUE!</v>
      </c>
      <c r="AH5" t="e">
        <f>AND('Cost data'!#REF!,"AAAAAB/3/yE=")</f>
        <v>#REF!</v>
      </c>
      <c r="AI5" t="e">
        <f>AND('Cost data'!#REF!,"AAAAAB/3/yI=")</f>
        <v>#REF!</v>
      </c>
      <c r="AJ5" t="e">
        <f>AND('Cost data'!#REF!,"AAAAAB/3/yM=")</f>
        <v>#REF!</v>
      </c>
      <c r="AK5" t="e">
        <f>AND('Cost data'!#REF!,"AAAAAB/3/yQ=")</f>
        <v>#REF!</v>
      </c>
      <c r="AL5">
        <f>IF('Cost data'!25:25,"AAAAAB/3/yU=",0)</f>
        <v>0</v>
      </c>
      <c r="AM5" t="e">
        <f>AND('Cost data'!A25,"AAAAAB/3/yY=")</f>
        <v>#VALUE!</v>
      </c>
      <c r="AN5" t="e">
        <f>AND('Cost data'!B25,"AAAAAB/3/yc=")</f>
        <v>#VALUE!</v>
      </c>
      <c r="AO5" t="e">
        <f>AND('Cost data'!#REF!,"AAAAAB/3/yg=")</f>
        <v>#REF!</v>
      </c>
      <c r="AP5" t="e">
        <f>AND('Cost data'!#REF!,"AAAAAB/3/yk=")</f>
        <v>#REF!</v>
      </c>
      <c r="AQ5" t="e">
        <f>AND('Cost data'!#REF!,"AAAAAB/3/yo=")</f>
        <v>#REF!</v>
      </c>
      <c r="AR5" t="e">
        <f>AND('Cost data'!#REF!,"AAAAAB/3/ys=")</f>
        <v>#REF!</v>
      </c>
      <c r="AS5" t="e">
        <f>IF('Cost data'!#REF!,"AAAAAB/3/yw=",0)</f>
        <v>#REF!</v>
      </c>
      <c r="AT5" t="e">
        <f>AND('Cost data'!#REF!,"AAAAAB/3/y0=")</f>
        <v>#REF!</v>
      </c>
      <c r="AU5" t="e">
        <f>AND('Cost data'!#REF!,"AAAAAB/3/y4=")</f>
        <v>#REF!</v>
      </c>
      <c r="AV5" t="e">
        <f>AND('Cost data'!#REF!,"AAAAAB/3/y8=")</f>
        <v>#REF!</v>
      </c>
      <c r="AW5" t="e">
        <f>AND('Cost data'!#REF!,"AAAAAB/3/zA=")</f>
        <v>#REF!</v>
      </c>
      <c r="AX5" t="e">
        <f>AND('Cost data'!#REF!,"AAAAAB/3/zE=")</f>
        <v>#REF!</v>
      </c>
      <c r="AY5" t="e">
        <f>AND('Cost data'!#REF!,"AAAAAB/3/zI=")</f>
        <v>#REF!</v>
      </c>
      <c r="AZ5">
        <f>IF('Cost data'!27:27,"AAAAAB/3/zM=",0)</f>
        <v>0</v>
      </c>
      <c r="BA5" t="e">
        <f>AND('Cost data'!A27,"AAAAAB/3/zQ=")</f>
        <v>#VALUE!</v>
      </c>
      <c r="BB5" t="e">
        <f>AND('Cost data'!B27,"AAAAAB/3/zU=")</f>
        <v>#VALUE!</v>
      </c>
      <c r="BC5" t="e">
        <f>AND('Cost data'!#REF!,"AAAAAB/3/zY=")</f>
        <v>#REF!</v>
      </c>
      <c r="BD5" t="e">
        <f>AND('Cost data'!#REF!,"AAAAAB/3/zc=")</f>
        <v>#REF!</v>
      </c>
      <c r="BE5" t="e">
        <f>AND('Cost data'!#REF!,"AAAAAB/3/zg=")</f>
        <v>#REF!</v>
      </c>
      <c r="BF5" t="e">
        <f>AND('Cost data'!#REF!,"AAAAAB/3/zk=")</f>
        <v>#REF!</v>
      </c>
      <c r="BG5" t="e">
        <f>IF('Cost data'!#REF!,"AAAAAB/3/zo=",0)</f>
        <v>#REF!</v>
      </c>
      <c r="BH5" t="e">
        <f>AND('Cost data'!#REF!,"AAAAAB/3/zs=")</f>
        <v>#REF!</v>
      </c>
      <c r="BI5" t="e">
        <f>AND('Cost data'!#REF!,"AAAAAB/3/zw=")</f>
        <v>#REF!</v>
      </c>
      <c r="BJ5" t="e">
        <f>AND('Cost data'!#REF!,"AAAAAB/3/z0=")</f>
        <v>#REF!</v>
      </c>
      <c r="BK5" t="e">
        <f>AND('Cost data'!#REF!,"AAAAAB/3/z4=")</f>
        <v>#REF!</v>
      </c>
      <c r="BL5" t="e">
        <f>AND('Cost data'!#REF!,"AAAAAB/3/z8=")</f>
        <v>#REF!</v>
      </c>
      <c r="BM5" t="e">
        <f>AND('Cost data'!#REF!,"AAAAAB/3/0A=")</f>
        <v>#REF!</v>
      </c>
      <c r="BN5" t="e">
        <f>IF('Cost data'!#REF!,"AAAAAB/3/0E=",0)</f>
        <v>#REF!</v>
      </c>
      <c r="BO5" t="e">
        <f>AND('Cost data'!#REF!,"AAAAAB/3/0I=")</f>
        <v>#REF!</v>
      </c>
      <c r="BP5" t="e">
        <f>AND('Cost data'!#REF!,"AAAAAB/3/0M=")</f>
        <v>#REF!</v>
      </c>
      <c r="BQ5" t="e">
        <f>AND('Cost data'!#REF!,"AAAAAB/3/0Q=")</f>
        <v>#REF!</v>
      </c>
      <c r="BR5" t="e">
        <f>AND('Cost data'!#REF!,"AAAAAB/3/0U=")</f>
        <v>#REF!</v>
      </c>
      <c r="BS5" t="e">
        <f>AND('Cost data'!#REF!,"AAAAAB/3/0Y=")</f>
        <v>#REF!</v>
      </c>
      <c r="BT5" t="e">
        <f>AND('Cost data'!#REF!,"AAAAAB/3/0c=")</f>
        <v>#REF!</v>
      </c>
      <c r="BU5" t="e">
        <f>IF('Cost data'!#REF!,"AAAAAB/3/0g=",0)</f>
        <v>#REF!</v>
      </c>
      <c r="BV5" t="e">
        <f>AND('Cost data'!#REF!,"AAAAAB/3/0k=")</f>
        <v>#REF!</v>
      </c>
      <c r="BW5" t="e">
        <f>AND('Cost data'!#REF!,"AAAAAB/3/0o=")</f>
        <v>#REF!</v>
      </c>
      <c r="BX5" t="e">
        <f>AND('Cost data'!#REF!,"AAAAAB/3/0s=")</f>
        <v>#REF!</v>
      </c>
      <c r="BY5" t="e">
        <f>AND('Cost data'!#REF!,"AAAAAB/3/0w=")</f>
        <v>#REF!</v>
      </c>
      <c r="BZ5" t="e">
        <f>AND('Cost data'!#REF!,"AAAAAB/3/00=")</f>
        <v>#REF!</v>
      </c>
      <c r="CA5" t="e">
        <f>AND('Cost data'!#REF!,"AAAAAB/3/04=")</f>
        <v>#REF!</v>
      </c>
      <c r="CB5" t="e">
        <f>IF('Cost data'!#REF!,"AAAAAB/3/08=",0)</f>
        <v>#REF!</v>
      </c>
      <c r="CC5" t="e">
        <f>AND('Cost data'!#REF!,"AAAAAB/3/1A=")</f>
        <v>#REF!</v>
      </c>
      <c r="CD5" t="e">
        <f>AND('Cost data'!#REF!,"AAAAAB/3/1E=")</f>
        <v>#REF!</v>
      </c>
      <c r="CE5" t="e">
        <f>AND('Cost data'!#REF!,"AAAAAB/3/1I=")</f>
        <v>#REF!</v>
      </c>
      <c r="CF5" t="e">
        <f>AND('Cost data'!#REF!,"AAAAAB/3/1M=")</f>
        <v>#REF!</v>
      </c>
      <c r="CG5" t="e">
        <f>AND('Cost data'!#REF!,"AAAAAB/3/1Q=")</f>
        <v>#REF!</v>
      </c>
      <c r="CH5" t="e">
        <f>AND('Cost data'!#REF!,"AAAAAB/3/1U=")</f>
        <v>#REF!</v>
      </c>
      <c r="CI5" t="e">
        <f>IF('Cost data'!#REF!,"AAAAAB/3/1Y=",0)</f>
        <v>#REF!</v>
      </c>
      <c r="CJ5" t="e">
        <f>AND('Cost data'!#REF!,"AAAAAB/3/1c=")</f>
        <v>#REF!</v>
      </c>
      <c r="CK5" t="e">
        <f>AND('Cost data'!#REF!,"AAAAAB/3/1g=")</f>
        <v>#REF!</v>
      </c>
      <c r="CL5" t="e">
        <f>AND('Cost data'!#REF!,"AAAAAB/3/1k=")</f>
        <v>#REF!</v>
      </c>
      <c r="CM5" t="e">
        <f>AND('Cost data'!#REF!,"AAAAAB/3/1o=")</f>
        <v>#REF!</v>
      </c>
      <c r="CN5" t="e">
        <f>AND('Cost data'!#REF!,"AAAAAB/3/1s=")</f>
        <v>#REF!</v>
      </c>
      <c r="CO5" t="e">
        <f>AND('Cost data'!#REF!,"AAAAAB/3/1w=")</f>
        <v>#REF!</v>
      </c>
      <c r="CP5" t="e">
        <f>IF('Cost data'!#REF!,"AAAAAB/3/10=",0)</f>
        <v>#REF!</v>
      </c>
      <c r="CQ5" t="e">
        <f>AND('Cost data'!#REF!,"AAAAAB/3/14=")</f>
        <v>#REF!</v>
      </c>
      <c r="CR5" t="e">
        <f>AND('Cost data'!#REF!,"AAAAAB/3/18=")</f>
        <v>#REF!</v>
      </c>
      <c r="CS5" t="e">
        <f>AND('Cost data'!#REF!,"AAAAAB/3/2A=")</f>
        <v>#REF!</v>
      </c>
      <c r="CT5" t="e">
        <f>AND('Cost data'!#REF!,"AAAAAB/3/2E=")</f>
        <v>#REF!</v>
      </c>
      <c r="CU5" t="e">
        <f>AND('Cost data'!#REF!,"AAAAAB/3/2I=")</f>
        <v>#REF!</v>
      </c>
      <c r="CV5" t="e">
        <f>AND('Cost data'!#REF!,"AAAAAB/3/2M=")</f>
        <v>#REF!</v>
      </c>
      <c r="CW5">
        <f>IF('Cost data'!28:28,"AAAAAB/3/2Q=",0)</f>
        <v>0</v>
      </c>
      <c r="CX5" t="e">
        <f>AND('Cost data'!A28,"AAAAAB/3/2U=")</f>
        <v>#VALUE!</v>
      </c>
      <c r="CY5" t="e">
        <f>AND('Cost data'!B28,"AAAAAB/3/2Y=")</f>
        <v>#VALUE!</v>
      </c>
      <c r="CZ5" t="e">
        <f>AND('Cost data'!#REF!,"AAAAAB/3/2c=")</f>
        <v>#REF!</v>
      </c>
      <c r="DA5" t="e">
        <f>AND('Cost data'!#REF!,"AAAAAB/3/2g=")</f>
        <v>#REF!</v>
      </c>
      <c r="DB5" t="e">
        <f>AND('Cost data'!#REF!,"AAAAAB/3/2k=")</f>
        <v>#REF!</v>
      </c>
      <c r="DC5" t="e">
        <f>AND('Cost data'!#REF!,"AAAAAB/3/2o=")</f>
        <v>#REF!</v>
      </c>
      <c r="DD5">
        <f>IF('Cost data'!29:29,"AAAAAB/3/2s=",0)</f>
        <v>0</v>
      </c>
      <c r="DE5" t="e">
        <f>AND('Cost data'!A29,"AAAAAB/3/2w=")</f>
        <v>#VALUE!</v>
      </c>
      <c r="DF5" t="e">
        <f>AND('Cost data'!B29,"AAAAAB/3/20=")</f>
        <v>#VALUE!</v>
      </c>
      <c r="DG5" t="e">
        <f>AND('Cost data'!#REF!,"AAAAAB/3/24=")</f>
        <v>#REF!</v>
      </c>
      <c r="DH5" t="e">
        <f>AND('Cost data'!#REF!,"AAAAAB/3/28=")</f>
        <v>#REF!</v>
      </c>
      <c r="DI5" t="e">
        <f>AND('Cost data'!#REF!,"AAAAAB/3/3A=")</f>
        <v>#REF!</v>
      </c>
      <c r="DJ5" t="e">
        <f>AND('Cost data'!#REF!,"AAAAAB/3/3E=")</f>
        <v>#REF!</v>
      </c>
      <c r="DK5">
        <f>IF('Cost data'!30:30,"AAAAAB/3/3I=",0)</f>
        <v>0</v>
      </c>
      <c r="DL5" t="e">
        <f>AND('Cost data'!A30,"AAAAAB/3/3M=")</f>
        <v>#VALUE!</v>
      </c>
      <c r="DM5" t="e">
        <f>AND('Cost data'!B30,"AAAAAB/3/3Q=")</f>
        <v>#VALUE!</v>
      </c>
      <c r="DN5" t="e">
        <f>AND('Cost data'!#REF!,"AAAAAB/3/3U=")</f>
        <v>#REF!</v>
      </c>
      <c r="DO5" t="e">
        <f>AND('Cost data'!#REF!,"AAAAAB/3/3Y=")</f>
        <v>#REF!</v>
      </c>
      <c r="DP5" t="e">
        <f>AND('Cost data'!#REF!,"AAAAAB/3/3c=")</f>
        <v>#REF!</v>
      </c>
      <c r="DQ5" t="e">
        <f>AND('Cost data'!#REF!,"AAAAAB/3/3g=")</f>
        <v>#REF!</v>
      </c>
      <c r="DR5">
        <f>IF('Cost data'!31:31,"AAAAAB/3/3k=",0)</f>
        <v>0</v>
      </c>
      <c r="DS5" t="e">
        <f>AND('Cost data'!A31,"AAAAAB/3/3o=")</f>
        <v>#VALUE!</v>
      </c>
      <c r="DT5" t="e">
        <f>AND('Cost data'!B31,"AAAAAB/3/3s=")</f>
        <v>#VALUE!</v>
      </c>
      <c r="DU5" t="e">
        <f>AND('Cost data'!#REF!,"AAAAAB/3/3w=")</f>
        <v>#REF!</v>
      </c>
      <c r="DV5" t="e">
        <f>AND('Cost data'!#REF!,"AAAAAB/3/30=")</f>
        <v>#REF!</v>
      </c>
      <c r="DW5" t="e">
        <f>AND('Cost data'!#REF!,"AAAAAB/3/34=")</f>
        <v>#REF!</v>
      </c>
      <c r="DX5" t="e">
        <f>AND('Cost data'!#REF!,"AAAAAB/3/38=")</f>
        <v>#REF!</v>
      </c>
      <c r="DY5">
        <f>IF('Cost data'!32:32,"AAAAAB/3/4A=",0)</f>
        <v>0</v>
      </c>
      <c r="DZ5" t="e">
        <f>AND('Cost data'!A32,"AAAAAB/3/4E=")</f>
        <v>#VALUE!</v>
      </c>
      <c r="EA5" t="e">
        <f>AND('Cost data'!B32,"AAAAAB/3/4I=")</f>
        <v>#VALUE!</v>
      </c>
      <c r="EB5" t="e">
        <f>AND('Cost data'!#REF!,"AAAAAB/3/4M=")</f>
        <v>#REF!</v>
      </c>
      <c r="EC5" t="e">
        <f>AND('Cost data'!#REF!,"AAAAAB/3/4Q=")</f>
        <v>#REF!</v>
      </c>
      <c r="ED5" t="e">
        <f>AND('Cost data'!#REF!,"AAAAAB/3/4U=")</f>
        <v>#REF!</v>
      </c>
      <c r="EE5" t="e">
        <f>AND('Cost data'!#REF!,"AAAAAB/3/4Y=")</f>
        <v>#REF!</v>
      </c>
      <c r="EF5">
        <f>IF('Cost data'!33:33,"AAAAAB/3/4c=",0)</f>
        <v>0</v>
      </c>
      <c r="EG5" t="e">
        <f>AND('Cost data'!A33,"AAAAAB/3/4g=")</f>
        <v>#VALUE!</v>
      </c>
      <c r="EH5" t="e">
        <f>AND('Cost data'!B33,"AAAAAB/3/4k=")</f>
        <v>#VALUE!</v>
      </c>
      <c r="EI5" t="e">
        <f>AND('Cost data'!#REF!,"AAAAAB/3/4o=")</f>
        <v>#REF!</v>
      </c>
      <c r="EJ5" t="e">
        <f>AND('Cost data'!#REF!,"AAAAAB/3/4s=")</f>
        <v>#REF!</v>
      </c>
      <c r="EK5" t="e">
        <f>AND('Cost data'!#REF!,"AAAAAB/3/4w=")</f>
        <v>#REF!</v>
      </c>
      <c r="EL5" t="e">
        <f>AND('Cost data'!#REF!,"AAAAAB/3/40=")</f>
        <v>#REF!</v>
      </c>
      <c r="EM5">
        <f>IF('Cost data'!34:34,"AAAAAB/3/44=",0)</f>
        <v>0</v>
      </c>
      <c r="EN5" t="e">
        <f>AND('Cost data'!A34,"AAAAAB/3/48=")</f>
        <v>#VALUE!</v>
      </c>
      <c r="EO5" t="e">
        <f>AND('Cost data'!B34,"AAAAAB/3/5A=")</f>
        <v>#VALUE!</v>
      </c>
      <c r="EP5" t="e">
        <f>AND('Cost data'!#REF!,"AAAAAB/3/5E=")</f>
        <v>#REF!</v>
      </c>
      <c r="EQ5" t="e">
        <f>AND('Cost data'!#REF!,"AAAAAB/3/5I=")</f>
        <v>#REF!</v>
      </c>
      <c r="ER5" t="e">
        <f>AND('Cost data'!#REF!,"AAAAAB/3/5M=")</f>
        <v>#REF!</v>
      </c>
      <c r="ES5" t="e">
        <f>AND('Cost data'!#REF!,"AAAAAB/3/5Q=")</f>
        <v>#REF!</v>
      </c>
      <c r="ET5">
        <f>IF('Cost data'!35:35,"AAAAAB/3/5U=",0)</f>
        <v>0</v>
      </c>
      <c r="EU5" t="e">
        <f>AND('Cost data'!A35,"AAAAAB/3/5Y=")</f>
        <v>#VALUE!</v>
      </c>
      <c r="EV5" t="e">
        <f>AND('Cost data'!B35,"AAAAAB/3/5c=")</f>
        <v>#VALUE!</v>
      </c>
      <c r="EW5" t="e">
        <f>AND('Cost data'!#REF!,"AAAAAB/3/5g=")</f>
        <v>#REF!</v>
      </c>
      <c r="EX5" t="e">
        <f>AND('Cost data'!#REF!,"AAAAAB/3/5k=")</f>
        <v>#REF!</v>
      </c>
      <c r="EY5" t="e">
        <f>AND('Cost data'!#REF!,"AAAAAB/3/5o=")</f>
        <v>#REF!</v>
      </c>
      <c r="EZ5" t="e">
        <f>AND('Cost data'!#REF!,"AAAAAB/3/5s=")</f>
        <v>#REF!</v>
      </c>
      <c r="FA5">
        <f>IF('Cost data'!A:A,"AAAAAB/3/5w=",0)</f>
        <v>0</v>
      </c>
      <c r="FB5">
        <f>IF('Cost data'!B:B,"AAAAAB/3/50=",0)</f>
        <v>0</v>
      </c>
      <c r="FC5" t="e">
        <f>IF('Cost data'!#REF!,"AAAAAB/3/54=",0)</f>
        <v>#REF!</v>
      </c>
      <c r="FD5" t="e">
        <f>IF('Cost data'!#REF!,"AAAAAB/3/58=",0)</f>
        <v>#REF!</v>
      </c>
      <c r="FE5" t="e">
        <f>IF('Cost data'!#REF!,"AAAAAB/3/6A=",0)</f>
        <v>#REF!</v>
      </c>
      <c r="FF5" t="e">
        <f>IF('Cost data'!#REF!,"AAAAAB/3/6E=",0)</f>
        <v>#REF!</v>
      </c>
      <c r="FG5">
        <f>IF('Cost data'!C:C,"AAAAAB/3/6I=",0)</f>
        <v>0</v>
      </c>
      <c r="FH5">
        <f>IF('Cost data'!D:D,"AAAAAB/3/6M=",0)</f>
        <v>0</v>
      </c>
      <c r="FI5">
        <f>IF('Cost data'!E:E,"AAAAAB/3/6Q=",0)</f>
        <v>0</v>
      </c>
      <c r="FJ5">
        <f>IF('Cost data'!F:F,"AAAAAB/3/6U=",0)</f>
        <v>0</v>
      </c>
      <c r="FK5" t="s">
        <v>24</v>
      </c>
      <c r="FL5" t="s">
        <v>25</v>
      </c>
      <c r="FM5" t="e">
        <f>IF("N",'Chart data'!_xlnm.Print_Area,"AAAAAB/3/6g=")</f>
        <v>#VALUE!</v>
      </c>
      <c r="FN5" t="e">
        <f>IF("N",'Cost data'!_xlnm.Print_Area,"AAAAAB/3/6k=")</f>
        <v>#VALUE!</v>
      </c>
    </row>
    <row r="6" spans="1:256" x14ac:dyDescent="0.2">
      <c r="A6" t="s">
        <v>27</v>
      </c>
      <c r="B6" t="s">
        <v>28</v>
      </c>
      <c r="C6" t="e">
        <f>IF("N",'Chart data'!_xlnm.Print_Area,"AAAAABt//gI=")</f>
        <v>#VALUE!</v>
      </c>
      <c r="D6" t="e">
        <f>IF("N",'Cost data'!_xlnm.Print_Area,"AAAAABt//gM=")</f>
        <v>#VALUE!</v>
      </c>
    </row>
    <row r="7" spans="1:256" x14ac:dyDescent="0.2">
      <c r="A7" t="s">
        <v>29</v>
      </c>
      <c r="B7" t="s">
        <v>30</v>
      </c>
      <c r="C7" t="e">
        <f>IF("N",'Chart data'!_xlnm.Print_Area,"AAAAAHYv9gI=")</f>
        <v>#VALUE!</v>
      </c>
      <c r="D7" t="e">
        <f>IF("N",'Cost data'!_xlnm.Print_Area,"AAAAAHYv9gM=")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A933DDCF31749A54EBD30B90C3AD4" ma:contentTypeVersion="1" ma:contentTypeDescription="Create a new document." ma:contentTypeScope="" ma:versionID="c009630b911571ea758bcee60755268e">
  <xsd:schema xmlns:xsd="http://www.w3.org/2001/XMLSchema" xmlns:xs="http://www.w3.org/2001/XMLSchema" xmlns:p="http://schemas.microsoft.com/office/2006/metadata/properties" xmlns:ns3="66563a4d-b369-4238-ae02-01d27c4a96f1" targetNamespace="http://schemas.microsoft.com/office/2006/metadata/properties" ma:root="true" ma:fieldsID="7c9754515e11814850b10acca72b89da" ns3:_="">
    <xsd:import namespace="66563a4d-b369-4238-ae02-01d27c4a96f1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3a4d-b369-4238-ae02-01d27c4a96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89416E-C170-4276-AA4D-AB92F3068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563a4d-b369-4238-ae02-01d27c4a9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42EFFD-27A7-481F-88C4-22AECB98BA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40E17-10CA-45BE-A149-ED65BC4FFBE7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66563a4d-b369-4238-ae02-01d27c4a96f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Chart DC data</vt:lpstr>
      <vt:lpstr>Chart data</vt:lpstr>
      <vt:lpstr>Data base</vt:lpstr>
      <vt:lpstr>Cost data</vt:lpstr>
      <vt:lpstr>Chart WCost</vt:lpstr>
      <vt:lpstr>Chart DCost</vt:lpstr>
      <vt:lpstr>Chart_DSpeed</vt:lpstr>
      <vt:lpstr>Well time use</vt:lpstr>
      <vt:lpstr>Time use</vt:lpstr>
      <vt:lpstr>Cost trend</vt:lpstr>
      <vt:lpstr>'Chart data'!Область_печати</vt:lpstr>
      <vt:lpstr>'Cost data'!Область_печати</vt:lpstr>
    </vt:vector>
  </TitlesOfParts>
  <Company>Hyrcanian Resources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yklinchev@hyrcanian.co.uk</dc:creator>
  <cp:lastModifiedBy>Yuriy Klinchev</cp:lastModifiedBy>
  <cp:lastPrinted>2012-12-19T13:53:07Z</cp:lastPrinted>
  <dcterms:created xsi:type="dcterms:W3CDTF">2000-06-08T10:21:25Z</dcterms:created>
  <dcterms:modified xsi:type="dcterms:W3CDTF">2016-11-22T08:23:27Z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19OCoGAg6XjwrhNXb6vtQggxSCpyiFtB977-qZFiQKJA</vt:lpwstr>
  </property>
  <property fmtid="{D5CDD505-2E9C-101B-9397-08002B2CF9AE}" pid="4" name="Google.Documents.RevisionId">
    <vt:lpwstr>03515178289112039535</vt:lpwstr>
  </property>
  <property fmtid="{D5CDD505-2E9C-101B-9397-08002B2CF9AE}" pid="5" name="Google.Documents.PreviousRevisionId">
    <vt:lpwstr>06464815482359606844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  <property fmtid="{D5CDD505-2E9C-101B-9397-08002B2CF9AE}" pid="8" name="ContentTypeId">
    <vt:lpwstr>0x01010002FA933DDCF31749A54EBD30B90C3AD4</vt:lpwstr>
  </property>
  <property fmtid="{D5CDD505-2E9C-101B-9397-08002B2CF9AE}" pid="9" name="IsMyDocuments">
    <vt:bool>true</vt:bool>
  </property>
</Properties>
</file>